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65" tabRatio="500" firstSheet="2" activeTab="2"/>
  </bookViews>
  <sheets>
    <sheet name="Orientações" sheetId="1" state="hidden" r:id="rId1"/>
    <sheet name="Servente" sheetId="2" state="hidden" r:id="rId2"/>
    <sheet name="Portaria" sheetId="6" r:id="rId3"/>
    <sheet name="Motorista Interestadual" sheetId="8" r:id="rId4"/>
    <sheet name="Auxiliar de Manutenção Predial" sheetId="11" r:id="rId5"/>
    <sheet name="Jardineiro" sheetId="5" r:id="rId6"/>
    <sheet name="Diárias" sheetId="15" r:id="rId7"/>
    <sheet name="Uniformes" sheetId="12" r:id="rId8"/>
    <sheet name="Materiais e Equipamentos" sheetId="14" r:id="rId9"/>
    <sheet name="EPC" sheetId="16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<sst xmlns="http://schemas.openxmlformats.org/spreadsheetml/2006/main" count="1823" uniqueCount="477">
  <si>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</si>
  <si>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</si>
  <si>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</si>
  <si>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</si>
  <si>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</si>
  <si>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</si>
  <si>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</si>
  <si>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</si>
  <si>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</si>
  <si>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</si>
  <si>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</si>
  <si>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</si>
  <si>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</si>
  <si>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</si>
  <si>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</si>
  <si>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</si>
  <si>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</si>
  <si>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</si>
  <si>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</si>
  <si>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</si>
  <si>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</si>
  <si>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</si>
  <si>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</si>
  <si>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</si>
  <si>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</si>
  <si>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</si>
  <si>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</si>
  <si>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</si>
  <si>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</si>
  <si>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</si>
  <si>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</si>
  <si>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</si>
  <si>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</si>
  <si>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</si>
  <si>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</si>
  <si>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</si>
  <si>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</si>
  <si>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</si>
  <si>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</si>
  <si>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</si>
  <si>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</si>
  <si>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</si>
  <si>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</si>
  <si>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</si>
  <si>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</si>
  <si>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</si>
  <si>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</si>
  <si>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</si>
  <si>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</si>
  <si>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</si>
  <si>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</si>
  <si>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</si>
  <si>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</si>
  <si>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</si>
  <si>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</si>
  <si>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</si>
  <si>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</si>
  <si>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</si>
  <si>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</si>
  <si>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</si>
  <si>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</si>
  <si>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</si>
  <si>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</si>
  <si>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</si>
  <si>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</si>
  <si>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</si>
  <si>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</si>
  <si>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</si>
  <si>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</si>
  <si>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</si>
  <si>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</si>
  <si>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</si>
  <si>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</si>
  <si>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</si>
  <si>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</si>
  <si>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</si>
  <si>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</si>
  <si>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</si>
  <si>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</si>
  <si>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</si>
  <si>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</si>
  <si>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</si>
  <si>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</si>
  <si>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</si>
  <si>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</si>
  <si>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</si>
  <si>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</si>
  <si>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</si>
  <si>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</si>
  <si>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</si>
  <si>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</si>
  <si>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</si>
  <si>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</si>
  <si>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</si>
  <si>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</si>
  <si>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</si>
  <si>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</si>
  <si>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</si>
  <si>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</si>
  <si>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</si>
  <si>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</si>
  <si>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</si>
  <si>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</si>
  <si>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</si>
  <si>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</si>
  <si>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</si>
  <si>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</si>
  <si>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</si>
  <si>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</si>
  <si>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</si>
  <si>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</si>
  <si>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</si>
  <si>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</si>
  <si>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</si>
  <si>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</si>
  <si>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</si>
  <si>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</si>
  <si>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</si>
  <si>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</si>
  <si>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</si>
  <si>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</si>
  <si>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</si>
  <si>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</si>
  <si>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</si>
  <si>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</si>
  <si>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</si>
  <si>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</si>
  <si>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</si>
  <si>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</si>
  <si>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</si>
  <si>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</si>
  <si>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</si>
  <si>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</si>
  <si>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</si>
  <si>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</si>
  <si>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</si>
  <si>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</si>
  <si>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</si>
  <si>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</si>
  <si>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</si>
  <si>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</si>
  <si>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</si>
  <si>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</si>
  <si>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</si>
  <si>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</si>
  <si>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</si>
  <si>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</si>
  <si>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</si>
  <si>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</si>
  <si>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</si>
  <si>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</si>
  <si>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</si>
  <si>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</si>
  <si>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</si>
  <si>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</si>
  <si>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</si>
  <si>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</si>
  <si>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</si>
  <si>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</si>
  <si>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</si>
  <si>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</si>
  <si>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</si>
  <si>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</si>
  <si>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</si>
  <si>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</si>
  <si>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</si>
  <si>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</si>
  <si>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</si>
  <si>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</si>
  <si>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</si>
  <si>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</si>
  <si>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</si>
  <si>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</si>
  <si>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</si>
  <si>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</si>
  <si>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</si>
  <si>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</si>
  <si>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</si>
  <si>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</si>
  <si>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</si>
  <si>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</si>
  <si>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</si>
  <si>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</si>
  <si>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</si>
  <si>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</si>
  <si>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</si>
  <si>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</si>
  <si>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</si>
  <si>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</si>
  <si>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</si>
  <si>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</si>
  <si>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</si>
  <si>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</si>
  <si>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</si>
  <si>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Agente de Portaria</t>
  </si>
  <si>
    <t>Posto 12 x 36 horas</t>
  </si>
  <si>
    <t>MTE</t>
  </si>
  <si>
    <t>5174-15</t>
  </si>
  <si>
    <t>SEAC-PB</t>
  </si>
  <si>
    <t>01/JANEIRO</t>
  </si>
  <si>
    <t>GRUPO III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</si>
  <si>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</si>
  <si>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</si>
  <si>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</si>
  <si>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</si>
  <si>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</si>
  <si>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</si>
  <si>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</si>
  <si>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</si>
  <si>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</si>
  <si>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</si>
  <si>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</si>
  <si>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</si>
  <si>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</si>
  <si>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</si>
  <si>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</si>
  <si>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</si>
  <si>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</si>
  <si>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</si>
  <si>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</si>
  <si>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</si>
  <si>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</si>
  <si>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</si>
  <si>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</si>
  <si>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</si>
  <si>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</si>
  <si>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</si>
  <si>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</si>
  <si>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</si>
  <si>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</si>
  <si>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</si>
  <si>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</si>
  <si>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VALOR TOTAL DO POSTO</t>
  </si>
  <si>
    <t>CCT PB000035/2019*</t>
  </si>
  <si>
    <t>Motorista Interestadual</t>
  </si>
  <si>
    <t>44 horas</t>
  </si>
  <si>
    <t>7823-05</t>
  </si>
  <si>
    <t>SMTTRPC-PB</t>
  </si>
  <si>
    <t>* A presente CCT PB000035/2019 não encontra-se vigente, mas corresponde à CCT a qual o atual contrato, junto à Administração, encontra-se vinculado.</t>
  </si>
  <si>
    <r>
      <rPr>
        <b/>
        <sz val="11"/>
        <rFont val="Calibri"/>
        <charset val="134"/>
      </rPr>
      <t xml:space="preserve">Processo Administrativo n.° </t>
    </r>
    <r>
      <rPr>
        <sz val="11"/>
        <rFont val="Calibri"/>
        <charset val="134"/>
      </rPr>
      <t>23381.004959.2021-15</t>
    </r>
  </si>
  <si>
    <t>CCT PB 000047/2021</t>
  </si>
  <si>
    <t>Auxiliar de Manutenção Predial</t>
  </si>
  <si>
    <t>5143-10</t>
  </si>
  <si>
    <t>GRUPO IX</t>
  </si>
  <si>
    <r>
      <rPr>
        <sz val="11"/>
        <rFont val="Calibri"/>
        <charset val="134"/>
      </rPr>
      <t>Intervalo Intrajornada (</t>
    </r>
    <r>
      <rPr>
        <sz val="10"/>
        <rFont val="Calibri"/>
        <charset val="134"/>
      </rPr>
      <t>não usufruído pelo empregado</t>
    </r>
    <r>
      <rPr>
        <sz val="11"/>
        <rFont val="Calibri"/>
        <charset val="134"/>
      </rPr>
      <t>)</t>
    </r>
  </si>
  <si>
    <t>Jardineiro</t>
  </si>
  <si>
    <t>6220-10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</si>
  <si>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</si>
  <si>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</si>
  <si>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</si>
  <si>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</si>
  <si>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</si>
  <si>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</si>
  <si>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</si>
  <si>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</si>
  <si>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</si>
  <si>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</si>
  <si>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</si>
  <si>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</si>
  <si>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</si>
  <si>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</si>
  <si>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</si>
  <si>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</si>
  <si>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</si>
  <si>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</si>
  <si>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</si>
  <si>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</si>
  <si>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</si>
  <si>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</si>
  <si>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PORTEIRO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</si>
  <si>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</si>
  <si>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</si>
  <si>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</si>
  <si>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</si>
  <si>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</si>
  <si>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</si>
  <si>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</si>
  <si>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</si>
  <si>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</si>
  <si>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</si>
  <si>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</si>
  <si>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</si>
  <si>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</si>
  <si>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</si>
  <si>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</si>
  <si>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</si>
  <si>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</si>
  <si>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</si>
  <si>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</si>
  <si>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</si>
  <si>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</si>
  <si>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CRACHÁ</t>
  </si>
  <si>
    <t xml:space="preserve"> Crachá de identiﬁcação, em plástico rígido, contendo logomarca da empresa, foto e nome completo do funcionário.</t>
  </si>
  <si>
    <t>MOTORISTA INTERMUNICIPAL E INTERESTADUAL</t>
  </si>
  <si>
    <t>Calça social, na cor preta, em tecido de poliviscose.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</si>
  <si>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</si>
  <si>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</si>
  <si>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UNIFORMES E EQUIPAMENTOS DE PROTEÇÃO INDIVIDUAL E COLETIVO</t>
  </si>
  <si>
    <t>AUXILIAR DE MANUTENÇÃO PREDIAL</t>
  </si>
  <si>
    <t>Calça com cós de elástico, dois bolsos frontais e dois bolsos na traseira, confeccionado em brim 100% algodão, sem partes metálicas.</t>
  </si>
  <si>
    <t>Camisa com gola tipo italiana, com mangas curtas, identificação da empresa na parte frontal, confeccionada em brim 100% algodão.</t>
  </si>
  <si>
    <t>BONÉ</t>
  </si>
  <si>
    <t>Boné árabe em brim 100% algodão para proteção da face em trabalhos a céu aberto.</t>
  </si>
  <si>
    <r>
      <rPr>
        <i/>
        <sz val="11"/>
        <rFont val="Carlito"/>
        <charset val="134"/>
      </rPr>
      <t>Calçado de segurança tipo botina, confeccionado em couro vaqueta, fechamento em elástico, com biqueira de aço, solado em poliuretano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bidensidade.</t>
    </r>
  </si>
  <si>
    <r>
      <rPr>
        <i/>
        <sz val="11"/>
        <rFont val="Carlito"/>
        <charset val="134"/>
      </rPr>
      <t>Calçado ocupacional de uso profissional, tipo bota PVC cano longo, impermeável, confeccionado em policloreto de vinila (PVC), com resistência química, sem biqueira, propriedades antiderrapantes,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para uso em locais alagadiços.</t>
    </r>
  </si>
  <si>
    <t>CAPACETE</t>
  </si>
  <si>
    <t>Capacete de segurança, tipo II classe A, aba frontal, com carneira e jugular. Regulagem de tamanho através de ajuste simples, cor azul, com selo de marcação do INMETRO.</t>
  </si>
  <si>
    <t>CINTO DE SEGURANÇA</t>
  </si>
  <si>
    <t>Conjunto cinto de segurança tipo paraquedista com talabarte duplo e kit trava queda (o cinto de segurança e o talabarte deverão ter o mesmo C.A.)</t>
  </si>
  <si>
    <t>Conjunto</t>
  </si>
  <si>
    <t>LUVA</t>
  </si>
  <si>
    <t>Luva de segurança confeccionada em malha tricotada 4 fios algodão, palma com pigmento de PVC, cano curto, para uso em serviços gerais.</t>
  </si>
  <si>
    <t>ÓCULOS</t>
  </si>
  <si>
    <t>Óculos de proteção individual com lentes incolor, armação em policarbonato, lente em policarbonato, anti-embaçante e anti-risco. Modelo de sobreposição (p/ser usado sobre óculos graduados).</t>
  </si>
  <si>
    <t>PROTETOR AURICULAR</t>
  </si>
  <si>
    <t>Protetor auricular, tipo plug de três flanges, material silicone, características adicionais anti-alérgico/atóxico.</t>
  </si>
  <si>
    <t>PROTETOR SOLAR</t>
  </si>
  <si>
    <t>Protetor solar fator de proteção FPS 30 ou superior.</t>
  </si>
  <si>
    <t>RESPIRADOR FACIAL</t>
  </si>
  <si>
    <t>Respirador semifacial PFF2 dobrável, descartável, sem válvula. Indicado para proteção respiratória em ambientes hospitalares contra presença de aerodispersóides e outros agentes biológicos, aplicando-se ainda contra fumos, névoas e poeiras tóxicas.</t>
  </si>
  <si>
    <t>JARDINEIRO</t>
  </si>
  <si>
    <t>CAPA DE CHUVA</t>
  </si>
  <si>
    <t>Capa de chuva confeccionada em PVC com forro de poliéster, com mangas, capuz conjugado, fechamento frontal por meio de botões, fechamento das costuras através de solda eletrônica.</t>
  </si>
  <si>
    <t>Materiais - Posto de Serviços de Agente de Portaria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</si>
  <si>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</si>
  <si>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</si>
  <si>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</si>
  <si>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</si>
  <si>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</si>
  <si>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</si>
  <si>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</si>
  <si>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</si>
  <si>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</si>
  <si>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</si>
  <si>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</si>
  <si>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MATERIAIS</t>
  </si>
  <si>
    <t>QUANTIDADE</t>
  </si>
  <si>
    <t>VALOR TOTAL</t>
  </si>
  <si>
    <t>Alicate universal 8”</t>
  </si>
  <si>
    <t>UND</t>
  </si>
  <si>
    <t>Alicate de pressão 8”</t>
  </si>
  <si>
    <t>Alicate de corte 10”</t>
  </si>
  <si>
    <t>Alicate de bico 10”</t>
  </si>
  <si>
    <t>Chave de fenda grande</t>
  </si>
  <si>
    <t>Chaves de fenda média</t>
  </si>
  <si>
    <t>Chave de fenda pequena</t>
  </si>
  <si>
    <t>Chave Philips grande</t>
  </si>
  <si>
    <t>Chaves Philips pequena</t>
  </si>
  <si>
    <t>Chave para teste elétrico</t>
  </si>
  <si>
    <t>Chave inglesa 12"</t>
  </si>
  <si>
    <t>Jogo de chave Allen</t>
  </si>
  <si>
    <t>Jogo de chave boca/estria de 3/8”a 1”</t>
  </si>
  <si>
    <t>Jogo de chave de encaixe de 3/8”a 1 ¼”</t>
  </si>
  <si>
    <t>Jogo de brocas videa de 3,5 mm a 9,5 mm</t>
  </si>
  <si>
    <t>Jogo de brocas de aço rápido de 1/16” a 3/16”</t>
  </si>
  <si>
    <t>Estilete</t>
  </si>
  <si>
    <t>Arco de serra</t>
  </si>
  <si>
    <t>Alicate de papagaio</t>
  </si>
  <si>
    <t>Chave de grifa 18”</t>
  </si>
  <si>
    <t>Martelo bola de ½ kg</t>
  </si>
  <si>
    <t>Marreta de ½ kg</t>
  </si>
  <si>
    <t>Marreta de 1 kg</t>
  </si>
  <si>
    <t>Talhadeira de 6”</t>
  </si>
  <si>
    <t>Talhadeira de 8”</t>
  </si>
  <si>
    <t>Tesoura para chapa de alumínio</t>
  </si>
  <si>
    <t>Pá quadrada</t>
  </si>
  <si>
    <t>Enxada</t>
  </si>
  <si>
    <t>Chibanca</t>
  </si>
  <si>
    <t>Picareta</t>
  </si>
  <si>
    <t>Alavanca</t>
  </si>
  <si>
    <t>Peneira para areia</t>
  </si>
  <si>
    <t>Marretas de borracha para cerâmica</t>
  </si>
  <si>
    <t>Régua de alumínio</t>
  </si>
  <si>
    <t>Prumo</t>
  </si>
  <si>
    <t>Escalas métrica</t>
  </si>
  <si>
    <t>Colher para pedreiro</t>
  </si>
  <si>
    <t>Ponteiro</t>
  </si>
  <si>
    <t>Torquês</t>
  </si>
  <si>
    <t>Esquadro</t>
  </si>
  <si>
    <t>Bobina de linha de náilon</t>
  </si>
  <si>
    <t>Desempenadeira de madeira</t>
  </si>
  <si>
    <t>Desempenadeira de aço</t>
  </si>
  <si>
    <t>Pé de cabra</t>
  </si>
  <si>
    <t>Nível de alumínio</t>
  </si>
  <si>
    <t>Nível de mangueira transparente</t>
  </si>
  <si>
    <t>Trena métrica de 30m</t>
  </si>
  <si>
    <t>Diamante manual para corte de cerâmica</t>
  </si>
  <si>
    <t>Pincéis de pêlo</t>
  </si>
  <si>
    <t>Bandeja para pintura</t>
  </si>
  <si>
    <t>Rolos de esponja para pintura látex</t>
  </si>
  <si>
    <t>Rolos de lã para pintura látex</t>
  </si>
  <si>
    <t>Rolos de borracha para pintura texturizada</t>
  </si>
  <si>
    <t>Broxa</t>
  </si>
  <si>
    <t>Espátula de metal</t>
  </si>
  <si>
    <t>Espátula de metal dentada</t>
  </si>
  <si>
    <t>Pazinha larga para vazo 30cm</t>
  </si>
  <si>
    <t>Garfo largo 24cm</t>
  </si>
  <si>
    <t>Escardilho</t>
  </si>
  <si>
    <t>Tesoura para colheita e poda</t>
  </si>
  <si>
    <t>Tesoura de poda de cerca viva e grama</t>
  </si>
  <si>
    <t>Serrote Poda dobrável 30cm madeira</t>
  </si>
  <si>
    <t>Vassoura para Grama de metal - 18 dentes</t>
  </si>
  <si>
    <t>Pá Cavadeira Articulada-cabo 110 mm</t>
  </si>
  <si>
    <t>Facão 14” para mato cabo de madeira</t>
  </si>
  <si>
    <t>Carrinho de mão 60 l com rodas de borracha</t>
  </si>
  <si>
    <t>Pá de bico nº 3 com cabo</t>
  </si>
  <si>
    <t>Desentupidor de pia</t>
  </si>
  <si>
    <t>Desentupidor de vaso</t>
  </si>
  <si>
    <t>Desentupidor espiral</t>
  </si>
  <si>
    <t>Extensão elétrica 10 m</t>
  </si>
  <si>
    <t>Ferro de solda</t>
  </si>
  <si>
    <t>Lanternas holofote recarregável de Led</t>
  </si>
  <si>
    <t>Multiteste eletrônico</t>
  </si>
  <si>
    <t>Pente de Aletas</t>
  </si>
  <si>
    <t>Termômetro</t>
  </si>
  <si>
    <t>Chave Catraca</t>
  </si>
  <si>
    <t>Conjunto Serra Copo</t>
  </si>
  <si>
    <t>Cortador de Tubo</t>
  </si>
  <si>
    <t>Curvador de Tubo</t>
  </si>
  <si>
    <t>QUANTIDADE DE PROFISSIONAIS EMPREGADOS NA EXECUÇÃO DOS SERVIÇOS DE MANUTENÇÃO</t>
  </si>
  <si>
    <t>VALOR MENSAL POR EMPREGADO</t>
  </si>
  <si>
    <t>EQUIPAMENTOS</t>
  </si>
  <si>
    <t>Alicate voltímetro e Amperímetro digital</t>
  </si>
  <si>
    <t>Escada de fibra de vidro extensível com corda 5,70 X 10,20 m</t>
  </si>
  <si>
    <t>Máquina manual para corte de cerâmica</t>
  </si>
  <si>
    <t>Chave de grifa 36”</t>
  </si>
  <si>
    <t>Andaime tubular de ferro com sapata e roda</t>
  </si>
  <si>
    <t>Compressor portátil</t>
  </si>
  <si>
    <t>Furadeira elétrica impacto profissional</t>
  </si>
  <si>
    <t>Lixadeira elétrica</t>
  </si>
  <si>
    <t>Moto esmeril bancada</t>
  </si>
  <si>
    <t>Serra para mármore (makita)</t>
  </si>
  <si>
    <t>Serra tico-tico</t>
  </si>
  <si>
    <t>Torno</t>
  </si>
  <si>
    <t>Lavadora de Alta Pressão 1500 W</t>
  </si>
  <si>
    <t>Aspirador de Pó</t>
  </si>
  <si>
    <t>Bomba de vácuo</t>
  </si>
  <si>
    <t>Conjunto Manifold</t>
  </si>
  <si>
    <t>Vacuômetro</t>
  </si>
  <si>
    <t>Detector de Vazamentos</t>
  </si>
  <si>
    <t>Maçarico Portátil</t>
  </si>
  <si>
    <t>Capacímetro</t>
  </si>
  <si>
    <t>Manutenção mensal</t>
  </si>
  <si>
    <t>Depreciação mensal</t>
  </si>
  <si>
    <t>Custo Total dos equipamentos (Manutenção + Depreciação)</t>
  </si>
  <si>
    <r>
      <rPr>
        <b/>
        <sz val="11"/>
        <color theme="1"/>
        <rFont val="Arial"/>
        <charset val="134"/>
      </rPr>
      <t>Manutenção de Equipamentos</t>
    </r>
    <r>
      <rPr>
        <sz val="11"/>
        <color theme="1"/>
        <rFont val="Arial"/>
        <charset val="134"/>
      </rPr>
      <t xml:space="preserve">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Valor total dos equipamentos (ANEXO IV) x 0,5% a.m.;
</t>
    </r>
    <r>
      <rPr>
        <b/>
        <sz val="11"/>
        <color theme="1"/>
        <rFont val="Arial"/>
        <charset val="134"/>
      </rPr>
      <t>Depreciação de Equipamentos:</t>
    </r>
    <r>
      <rPr>
        <sz val="11"/>
        <color theme="1"/>
        <rFont val="Arial"/>
        <charset val="134"/>
      </rPr>
      <t xml:space="preserve"> Para o cálculo do insumo Depreciação de Equipamentos, adotou-se vida útil de 8 anos e valor residual de 20%, com base no Manual de Custos Rodoviários do DNIT, volume 1, de 2003.
Depreciação Mensal = [Valor total dos equipamentos x (1,00-0,20)]/(12x8);</t>
    </r>
  </si>
  <si>
    <t>EQUIPAMENTOS DE PROTEÇÃO COLETIVA</t>
  </si>
  <si>
    <t>KIT PRIMEIRO SOCORROS</t>
  </si>
  <si>
    <t>Caixa plástica tipo maleta para acondicionamento do Kit</t>
  </si>
  <si>
    <t>Tesoura sem ponta</t>
  </si>
  <si>
    <t>Luvas de procedimento</t>
  </si>
  <si>
    <t>Caixa com 50 pares</t>
  </si>
  <si>
    <t>Máscara cirúrgica</t>
  </si>
  <si>
    <t>Gazes</t>
  </si>
  <si>
    <t>Pacote</t>
  </si>
  <si>
    <t>Esparadrapo</t>
  </si>
  <si>
    <t>Rolo</t>
  </si>
  <si>
    <t>Atadura de crepe</t>
  </si>
  <si>
    <t>Soro fisiológico SF 0,9% 250 mL</t>
  </si>
  <si>
    <t>Frasco</t>
  </si>
  <si>
    <t>Antisséptico degermante 100ml</t>
  </si>
  <si>
    <t>Corda de segurança em poliamida de 12 mm de diâmetro Rolo com 100 metros</t>
  </si>
  <si>
    <t>Mangas isolantes de borracha Classe 2 (M.T.)</t>
  </si>
  <si>
    <t>Placas de sinalização “Atenção - Em manutenção”</t>
  </si>
  <si>
    <t>Cone em PVC, cor laranja com faixas refletivas, tamanho 75 cm.</t>
  </si>
  <si>
    <t>QUANTIDADE DE PROFISSIONAIS A SEREM CONTRATADOS</t>
  </si>
  <si>
    <t>PLANILHA RESUMO</t>
  </si>
  <si>
    <t>Quantidade (MÊS)</t>
  </si>
  <si>
    <t xml:space="preserve">VIGÊNCIA 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</si>
  <si>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</si>
  <si>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</si>
  <si>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</si>
  <si>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</si>
  <si>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</si>
  <si>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DE MANUTENÇÃO PREDIAL - CBO: 5143-10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</si>
  <si>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JARDINEIRO - CBO 6220-10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</si>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</sst>
</file>

<file path=xl/styles.xml><?xml version="1.0" encoding="utf-8"?>
<styleSheet xmlns="http://schemas.openxmlformats.org/spreadsheetml/2006/main">
  <numFmts count="13">
    <numFmt numFmtId="176" formatCode="_-* #,##0.00_-;\-* #,##0.00_-;_-* &quot;-&quot;??_-;_-@_-"/>
    <numFmt numFmtId="177" formatCode="&quot;R$&quot;#,##0.00_);[Red]\(&quot;R$&quot;#,##0.00\)"/>
    <numFmt numFmtId="178" formatCode="0.00_ "/>
    <numFmt numFmtId="179" formatCode="_-* #,##0_-;\-* #,##0_-;_-* &quot;-&quot;_-;_-@_-"/>
    <numFmt numFmtId="180" formatCode="&quot;R$&quot;\ #,##0.00_);[Red]\(&quot;R$&quot;\ #,##0.00\)"/>
    <numFmt numFmtId="181" formatCode="_-&quot;R$&quot;* #,##0_-;\-&quot;R$&quot;* #,##0_-;_-&quot;R$&quot;* &quot;-&quot;_-;_-@_-"/>
    <numFmt numFmtId="182" formatCode="&quot;R$&quot;#,##0.00"/>
    <numFmt numFmtId="183" formatCode="&quot;R$&quot;#,##0.00_);[Red]&quot;(R$&quot;#,##0.00\)"/>
    <numFmt numFmtId="184" formatCode="_-&quot;R$ &quot;* #,##0.00_-;&quot;-R$ &quot;* #,##0.00_-;_-&quot;R$ &quot;* \-??_-;_-@_-"/>
    <numFmt numFmtId="185" formatCode="&quot;R$&quot;\ #,##0.00"/>
    <numFmt numFmtId="186" formatCode="_-&quot;R$&quot;* #,##0.00_-;\-&quot;R$&quot;* #,##0.00_-;_-&quot;R$&quot;* &quot;-&quot;??_-;_-@_-"/>
    <numFmt numFmtId="187" formatCode="0.0000_ "/>
    <numFmt numFmtId="188" formatCode="&quot;R$ &quot;#,##0.00"/>
  </numFmts>
  <fonts count="6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name val="Calibri"/>
      <charset val="134"/>
    </font>
    <font>
      <b/>
      <i/>
      <sz val="11"/>
      <color rgb="FF3F3F3F"/>
      <name val="Calibri"/>
      <charset val="134"/>
    </font>
    <font>
      <i/>
      <sz val="11"/>
      <name val="Times New Roman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i/>
      <sz val="11"/>
      <color theme="0"/>
      <name val="Arial"/>
      <charset val="134"/>
    </font>
    <font>
      <b/>
      <i/>
      <sz val="11"/>
      <color rgb="FF000000"/>
      <name val="Arial"/>
      <charset val="134"/>
    </font>
    <font>
      <b/>
      <i/>
      <sz val="11"/>
      <name val="Arial"/>
      <charset val="134"/>
    </font>
    <font>
      <i/>
      <sz val="11"/>
      <color rgb="FF000000"/>
      <name val="Arial"/>
      <charset val="134"/>
    </font>
    <font>
      <i/>
      <sz val="11"/>
      <name val="Arial"/>
      <charset val="134"/>
    </font>
    <font>
      <sz val="11"/>
      <color rgb="FF000000"/>
      <name val="Arial"/>
      <charset val="134"/>
    </font>
    <font>
      <sz val="11"/>
      <name val="Arial"/>
      <charset val="134"/>
    </font>
    <font>
      <b/>
      <i/>
      <sz val="11"/>
      <color theme="1"/>
      <name val="Arial"/>
      <charset val="134"/>
    </font>
    <font>
      <sz val="11"/>
      <color theme="1"/>
      <name val="Arial"/>
      <charset val="134"/>
    </font>
    <font>
      <b/>
      <sz val="11"/>
      <color theme="0"/>
      <name val="Arial"/>
      <charset val="134"/>
    </font>
    <font>
      <b/>
      <sz val="11"/>
      <name val="Arial"/>
      <charset val="134"/>
    </font>
    <font>
      <b/>
      <sz val="11"/>
      <color theme="1"/>
      <name val="Arial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rlito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b/>
      <sz val="14"/>
      <name val="Calibri"/>
      <charset val="134"/>
    </font>
    <font>
      <sz val="11"/>
      <color theme="5" tint="0.4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rgb="FF000000"/>
      <name val="Calibri"/>
      <charset val="134"/>
    </font>
    <font>
      <sz val="1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5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181" fontId="43" fillId="0" borderId="0" applyBorder="0" applyAlignment="0" applyProtection="0"/>
    <xf numFmtId="179" fontId="43" fillId="0" borderId="0" applyBorder="0" applyAlignment="0" applyProtection="0"/>
    <xf numFmtId="0" fontId="45" fillId="27" borderId="0" applyNumberFormat="0" applyBorder="0" applyAlignment="0" applyProtection="0">
      <alignment vertical="center"/>
    </xf>
    <xf numFmtId="9" fontId="0" fillId="0" borderId="0" applyBorder="0" applyProtection="0"/>
    <xf numFmtId="0" fontId="44" fillId="0" borderId="37" applyNumberFormat="0" applyFill="0" applyAlignment="0" applyProtection="0">
      <alignment vertical="center"/>
    </xf>
    <xf numFmtId="0" fontId="49" fillId="28" borderId="38" applyNumberFormat="0" applyAlignment="0" applyProtection="0">
      <alignment vertical="center"/>
    </xf>
    <xf numFmtId="176" fontId="43" fillId="0" borderId="0" applyBorder="0" applyAlignment="0" applyProtection="0"/>
    <xf numFmtId="0" fontId="45" fillId="32" borderId="0" applyNumberFormat="0" applyBorder="0" applyAlignment="0" applyProtection="0">
      <alignment vertical="center"/>
    </xf>
    <xf numFmtId="184" fontId="0" fillId="0" borderId="0" applyBorder="0" applyProtection="0"/>
    <xf numFmtId="0" fontId="48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6" fillId="33" borderId="42" applyNumberFormat="0" applyFont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  <xf numFmtId="0" fontId="55" fillId="0" borderId="41" applyNumberFormat="0" applyFill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54" fillId="0" borderId="41" applyNumberFormat="0" applyFill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2" fillId="45" borderId="44" applyNumberFormat="0" applyAlignment="0" applyProtection="0">
      <alignment vertical="center"/>
    </xf>
    <xf numFmtId="0" fontId="50" fillId="29" borderId="39" applyNumberFormat="0" applyAlignment="0" applyProtection="0">
      <alignment vertical="center"/>
    </xf>
    <xf numFmtId="0" fontId="61" fillId="29" borderId="44" applyNumberFormat="0" applyAlignment="0" applyProtection="0">
      <alignment vertical="center"/>
    </xf>
    <xf numFmtId="0" fontId="59" fillId="0" borderId="43" applyNumberFormat="0" applyFill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60" fillId="39" borderId="0" applyNumberFormat="0" applyBorder="0" applyAlignment="0" applyProtection="0">
      <alignment vertical="center"/>
    </xf>
    <xf numFmtId="0" fontId="63" fillId="46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6" fillId="49" borderId="0" applyNumberFormat="0" applyBorder="0" applyAlignment="0" applyProtection="0">
      <alignment vertical="center"/>
    </xf>
    <xf numFmtId="0" fontId="45" fillId="51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43" borderId="0" applyNumberFormat="0" applyBorder="0" applyAlignment="0" applyProtection="0">
      <alignment vertical="center"/>
    </xf>
    <xf numFmtId="0" fontId="45" fillId="42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46" fillId="53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</cellStyleXfs>
  <cellXfs count="3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justify" wrapText="1"/>
    </xf>
    <xf numFmtId="0" fontId="6" fillId="0" borderId="0" xfId="0" applyFont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7" fillId="3" borderId="0" xfId="0" applyFont="1" applyFill="1" applyAlignment="1">
      <alignment horizontal="center"/>
    </xf>
    <xf numFmtId="177" fontId="7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177" fontId="7" fillId="3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justify" vertical="center" wrapText="1"/>
    </xf>
    <xf numFmtId="185" fontId="9" fillId="5" borderId="0" xfId="0" applyNumberFormat="1" applyFont="1" applyFill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185" fontId="9" fillId="0" borderId="0" xfId="0" applyNumberFormat="1" applyFont="1" applyFill="1" applyAlignment="1">
      <alignment horizontal="center" vertical="center" wrapText="1"/>
    </xf>
    <xf numFmtId="185" fontId="9" fillId="6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85" fontId="2" fillId="0" borderId="0" xfId="0" applyNumberFormat="1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horizontal="center" vertical="center" wrapText="1"/>
    </xf>
    <xf numFmtId="177" fontId="16" fillId="8" borderId="0" xfId="0" applyNumberFormat="1" applyFont="1" applyFill="1" applyAlignment="1">
      <alignment horizontal="center" vertical="center"/>
    </xf>
    <xf numFmtId="177" fontId="16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1" fillId="7" borderId="0" xfId="0" applyFont="1" applyFill="1" applyAlignment="1">
      <alignment horizontal="center"/>
    </xf>
    <xf numFmtId="177" fontId="11" fillId="7" borderId="0" xfId="0" applyNumberFormat="1" applyFont="1" applyFill="1" applyAlignment="1">
      <alignment horizontal="center"/>
    </xf>
    <xf numFmtId="0" fontId="16" fillId="0" borderId="0" xfId="0" applyFont="1"/>
    <xf numFmtId="0" fontId="17" fillId="0" borderId="0" xfId="0" applyFont="1"/>
    <xf numFmtId="0" fontId="18" fillId="7" borderId="0" xfId="0" applyFont="1" applyFill="1" applyAlignment="1">
      <alignment horizontal="center"/>
    </xf>
    <xf numFmtId="0" fontId="13" fillId="7" borderId="0" xfId="0" applyFont="1" applyFill="1" applyAlignment="1">
      <alignment horizontal="center"/>
    </xf>
    <xf numFmtId="0" fontId="15" fillId="9" borderId="0" xfId="0" applyFont="1" applyFill="1" applyAlignment="1">
      <alignment horizontal="center" vertical="center"/>
    </xf>
    <xf numFmtId="0" fontId="15" fillId="9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justify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horizontal="center" vertical="center"/>
    </xf>
    <xf numFmtId="185" fontId="19" fillId="0" borderId="0" xfId="0" applyNumberFormat="1" applyFont="1" applyFill="1" applyAlignment="1">
      <alignment horizontal="center" vertical="center"/>
    </xf>
    <xf numFmtId="0" fontId="20" fillId="10" borderId="4" xfId="0" applyFont="1" applyFill="1" applyBorder="1" applyAlignment="1">
      <alignment horizontal="center"/>
    </xf>
    <xf numFmtId="0" fontId="20" fillId="10" borderId="5" xfId="0" applyFont="1" applyFill="1" applyBorder="1" applyAlignment="1">
      <alignment horizontal="center"/>
    </xf>
    <xf numFmtId="0" fontId="21" fillId="10" borderId="5" xfId="0" applyFont="1" applyFill="1" applyBorder="1" applyAlignment="1">
      <alignment horizontal="center"/>
    </xf>
    <xf numFmtId="0" fontId="20" fillId="10" borderId="6" xfId="0" applyFont="1" applyFill="1" applyBorder="1" applyAlignment="1">
      <alignment horizontal="center"/>
    </xf>
    <xf numFmtId="185" fontId="20" fillId="10" borderId="7" xfId="0" applyNumberFormat="1" applyFont="1" applyFill="1" applyBorder="1" applyAlignment="1">
      <alignment horizontal="center"/>
    </xf>
    <xf numFmtId="0" fontId="20" fillId="10" borderId="8" xfId="0" applyFont="1" applyFill="1" applyBorder="1" applyAlignment="1">
      <alignment horizontal="center"/>
    </xf>
    <xf numFmtId="0" fontId="21" fillId="10" borderId="8" xfId="0" applyFont="1" applyFill="1" applyBorder="1" applyAlignment="1">
      <alignment horizontal="center"/>
    </xf>
    <xf numFmtId="185" fontId="20" fillId="10" borderId="8" xfId="0" applyNumberFormat="1" applyFont="1" applyFill="1" applyBorder="1" applyAlignment="1">
      <alignment horizontal="center"/>
    </xf>
    <xf numFmtId="0" fontId="20" fillId="10" borderId="8" xfId="0" applyNumberFormat="1" applyFont="1" applyFill="1" applyBorder="1" applyAlignment="1">
      <alignment horizontal="center"/>
    </xf>
    <xf numFmtId="0" fontId="19" fillId="0" borderId="0" xfId="0" applyFont="1" applyFill="1" applyAlignment="1"/>
    <xf numFmtId="0" fontId="17" fillId="0" borderId="0" xfId="0" applyFont="1" applyFill="1" applyAlignment="1"/>
    <xf numFmtId="0" fontId="22" fillId="0" borderId="0" xfId="0" applyFont="1" applyFill="1" applyAlignment="1">
      <alignment horizontal="justify" wrapText="1"/>
    </xf>
    <xf numFmtId="0" fontId="19" fillId="0" borderId="0" xfId="0" applyFont="1" applyFill="1" applyAlignment="1">
      <alignment horizontal="justify" wrapText="1"/>
    </xf>
    <xf numFmtId="0" fontId="17" fillId="0" borderId="0" xfId="0" applyFont="1" applyFill="1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3" fillId="10" borderId="0" xfId="0" applyFont="1" applyFill="1" applyBorder="1" applyAlignment="1">
      <alignment horizontal="center"/>
    </xf>
    <xf numFmtId="0" fontId="23" fillId="10" borderId="0" xfId="0" applyFont="1" applyFill="1" applyBorder="1" applyAlignment="1">
      <alignment horizontal="center" vertical="center" wrapText="1"/>
    </xf>
    <xf numFmtId="0" fontId="23" fillId="10" borderId="0" xfId="0" applyFont="1" applyFill="1" applyBorder="1" applyAlignment="1">
      <alignment horizontal="center" vertical="center"/>
    </xf>
    <xf numFmtId="0" fontId="24" fillId="11" borderId="0" xfId="0" applyFont="1" applyFill="1" applyAlignment="1">
      <alignment horizontal="center"/>
    </xf>
    <xf numFmtId="0" fontId="24" fillId="11" borderId="0" xfId="0" applyFont="1" applyFill="1" applyAlignment="1">
      <alignment horizontal="center" vertical="center" wrapText="1"/>
    </xf>
    <xf numFmtId="0" fontId="24" fillId="11" borderId="0" xfId="0" applyFont="1" applyFill="1" applyAlignment="1">
      <alignment horizontal="center" vertical="center"/>
    </xf>
    <xf numFmtId="0" fontId="25" fillId="12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justify" wrapText="1"/>
    </xf>
    <xf numFmtId="177" fontId="26" fillId="13" borderId="0" xfId="0" applyNumberFormat="1" applyFont="1" applyFill="1" applyAlignment="1">
      <alignment horizontal="center" vertical="center" wrapText="1"/>
    </xf>
    <xf numFmtId="177" fontId="26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justify" vertical="center" wrapText="1"/>
    </xf>
    <xf numFmtId="0" fontId="27" fillId="0" borderId="0" xfId="0" applyFont="1" applyAlignment="1">
      <alignment horizontal="center" vertical="center" wrapText="1"/>
    </xf>
    <xf numFmtId="0" fontId="24" fillId="10" borderId="0" xfId="0" applyFont="1" applyFill="1" applyBorder="1" applyAlignment="1">
      <alignment horizontal="center"/>
    </xf>
    <xf numFmtId="0" fontId="24" fillId="10" borderId="0" xfId="0" applyFont="1" applyFill="1" applyBorder="1" applyAlignment="1">
      <alignment horizontal="center" vertical="center" wrapText="1"/>
    </xf>
    <xf numFmtId="0" fontId="24" fillId="10" borderId="0" xfId="0" applyFont="1" applyFill="1" applyBorder="1" applyAlignment="1">
      <alignment horizontal="center" vertical="center"/>
    </xf>
    <xf numFmtId="0" fontId="24" fillId="12" borderId="0" xfId="0" applyFont="1" applyFill="1" applyAlignment="1">
      <alignment horizontal="center" vertical="center" wrapText="1"/>
    </xf>
    <xf numFmtId="177" fontId="3" fillId="3" borderId="0" xfId="0" applyNumberFormat="1" applyFont="1" applyFill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10" borderId="9" xfId="19" applyFont="1" applyFill="1" applyBorder="1" applyAlignment="1">
      <alignment horizontal="center"/>
    </xf>
    <xf numFmtId="0" fontId="29" fillId="10" borderId="10" xfId="19" applyFont="1" applyFill="1" applyBorder="1" applyAlignment="1">
      <alignment horizontal="center"/>
    </xf>
    <xf numFmtId="0" fontId="29" fillId="10" borderId="11" xfId="19" applyFont="1" applyFill="1" applyBorder="1" applyAlignment="1">
      <alignment horizontal="center"/>
    </xf>
    <xf numFmtId="0" fontId="29" fillId="12" borderId="12" xfId="19" applyFont="1" applyFill="1" applyBorder="1" applyAlignment="1">
      <alignment horizontal="center" vertical="center" wrapText="1"/>
    </xf>
    <xf numFmtId="0" fontId="29" fillId="12" borderId="13" xfId="19" applyFont="1" applyFill="1" applyBorder="1" applyAlignment="1">
      <alignment horizontal="center" vertical="center" wrapText="1"/>
    </xf>
    <xf numFmtId="0" fontId="29" fillId="12" borderId="14" xfId="19" applyFont="1" applyFill="1" applyBorder="1" applyAlignment="1">
      <alignment horizontal="center" vertical="center" wrapText="1"/>
    </xf>
    <xf numFmtId="0" fontId="29" fillId="12" borderId="15" xfId="19" applyFont="1" applyFill="1" applyBorder="1" applyAlignment="1">
      <alignment horizontal="center" vertical="center" wrapText="1"/>
    </xf>
    <xf numFmtId="0" fontId="29" fillId="11" borderId="12" xfId="19" applyFont="1" applyFill="1" applyBorder="1" applyAlignment="1">
      <alignment horizontal="center" vertical="center" wrapText="1"/>
    </xf>
    <xf numFmtId="0" fontId="29" fillId="11" borderId="13" xfId="19" applyFont="1" applyFill="1" applyBorder="1" applyAlignment="1">
      <alignment horizontal="center" vertical="center" wrapText="1"/>
    </xf>
    <xf numFmtId="0" fontId="29" fillId="11" borderId="14" xfId="19" applyFont="1" applyFill="1" applyBorder="1" applyAlignment="1">
      <alignment horizontal="center" vertical="center"/>
    </xf>
    <xf numFmtId="0" fontId="29" fillId="11" borderId="15" xfId="19" applyFont="1" applyFill="1" applyBorder="1" applyAlignment="1">
      <alignment horizontal="center" vertical="center"/>
    </xf>
    <xf numFmtId="0" fontId="29" fillId="13" borderId="12" xfId="19" applyFont="1" applyFill="1" applyBorder="1" applyAlignment="1">
      <alignment horizontal="center" vertical="center"/>
    </xf>
    <xf numFmtId="186" fontId="29" fillId="13" borderId="13" xfId="9" applyNumberFormat="1" applyFont="1" applyFill="1" applyBorder="1" applyAlignment="1">
      <alignment horizontal="center" vertical="center"/>
    </xf>
    <xf numFmtId="186" fontId="29" fillId="13" borderId="14" xfId="9" applyNumberFormat="1" applyFont="1" applyFill="1" applyBorder="1" applyAlignment="1">
      <alignment horizontal="center" vertical="center"/>
    </xf>
    <xf numFmtId="186" fontId="29" fillId="13" borderId="15" xfId="9" applyNumberFormat="1" applyFont="1" applyFill="1" applyBorder="1" applyAlignment="1">
      <alignment horizontal="center" vertical="center"/>
    </xf>
    <xf numFmtId="0" fontId="30" fillId="0" borderId="0" xfId="0" applyNumberFormat="1" applyFont="1" applyFill="1" applyBorder="1" applyAlignment="1" applyProtection="1"/>
    <xf numFmtId="0" fontId="10" fillId="0" borderId="16" xfId="0" applyFont="1" applyFill="1" applyBorder="1" applyAlignment="1"/>
    <xf numFmtId="0" fontId="10" fillId="0" borderId="0" xfId="0" applyFont="1" applyFill="1" applyBorder="1" applyAlignment="1"/>
    <xf numFmtId="0" fontId="10" fillId="0" borderId="17" xfId="0" applyFont="1" applyFill="1" applyBorder="1" applyAlignment="1"/>
    <xf numFmtId="186" fontId="29" fillId="0" borderId="18" xfId="19" applyNumberFormat="1" applyFont="1" applyBorder="1" applyAlignment="1">
      <alignment horizontal="center" vertical="center" wrapText="1"/>
    </xf>
    <xf numFmtId="0" fontId="29" fillId="11" borderId="19" xfId="0" applyFont="1" applyFill="1" applyBorder="1" applyAlignment="1">
      <alignment horizontal="center" vertical="center"/>
    </xf>
    <xf numFmtId="0" fontId="29" fillId="11" borderId="20" xfId="0" applyFont="1" applyFill="1" applyBorder="1" applyAlignment="1">
      <alignment horizontal="center" vertical="center"/>
    </xf>
    <xf numFmtId="0" fontId="29" fillId="11" borderId="0" xfId="0" applyFont="1" applyFill="1" applyBorder="1" applyAlignment="1">
      <alignment horizontal="center" vertical="center"/>
    </xf>
    <xf numFmtId="0" fontId="29" fillId="11" borderId="17" xfId="0" applyFont="1" applyFill="1" applyBorder="1" applyAlignment="1">
      <alignment horizontal="center" vertical="center"/>
    </xf>
    <xf numFmtId="0" fontId="10" fillId="11" borderId="16" xfId="0" applyFont="1" applyFill="1" applyBorder="1" applyAlignment="1">
      <alignment horizontal="left" vertical="top"/>
    </xf>
    <xf numFmtId="0" fontId="10" fillId="11" borderId="0" xfId="0" applyFont="1" applyFill="1" applyBorder="1" applyAlignment="1">
      <alignment horizontal="left" vertical="top"/>
    </xf>
    <xf numFmtId="10" fontId="10" fillId="13" borderId="0" xfId="4" applyNumberFormat="1" applyFont="1" applyFill="1" applyBorder="1" applyAlignment="1">
      <alignment horizontal="center" vertical="center"/>
    </xf>
    <xf numFmtId="186" fontId="10" fillId="13" borderId="17" xfId="9" applyNumberFormat="1" applyFont="1" applyFill="1" applyBorder="1" applyAlignment="1">
      <alignment horizontal="center" vertical="center"/>
    </xf>
    <xf numFmtId="0" fontId="10" fillId="14" borderId="16" xfId="0" applyFont="1" applyFill="1" applyBorder="1" applyAlignment="1">
      <alignment horizontal="left" vertical="top"/>
    </xf>
    <xf numFmtId="0" fontId="10" fillId="14" borderId="0" xfId="0" applyFont="1" applyFill="1" applyBorder="1" applyAlignment="1">
      <alignment horizontal="left" vertical="top"/>
    </xf>
    <xf numFmtId="0" fontId="29" fillId="12" borderId="21" xfId="19" applyFont="1" applyFill="1" applyBorder="1" applyAlignment="1">
      <alignment horizontal="center" vertical="center" wrapText="1"/>
    </xf>
    <xf numFmtId="186" fontId="29" fillId="13" borderId="22" xfId="19" applyNumberFormat="1" applyFont="1" applyFill="1" applyBorder="1" applyAlignment="1">
      <alignment horizontal="center" vertical="center" wrapText="1"/>
    </xf>
    <xf numFmtId="0" fontId="29" fillId="11" borderId="21" xfId="19" applyFont="1" applyFill="1" applyBorder="1" applyAlignment="1">
      <alignment horizontal="center" vertical="center" wrapText="1"/>
    </xf>
    <xf numFmtId="0" fontId="29" fillId="11" borderId="14" xfId="19" applyFont="1" applyFill="1" applyBorder="1" applyAlignment="1">
      <alignment horizontal="center" vertical="center" wrapText="1"/>
    </xf>
    <xf numFmtId="0" fontId="29" fillId="11" borderId="15" xfId="19" applyFont="1" applyFill="1" applyBorder="1" applyAlignment="1">
      <alignment horizontal="center" vertical="center" wrapText="1"/>
    </xf>
    <xf numFmtId="0" fontId="29" fillId="14" borderId="19" xfId="0" applyFont="1" applyFill="1" applyBorder="1" applyAlignment="1">
      <alignment horizontal="center" vertical="center"/>
    </xf>
    <xf numFmtId="0" fontId="29" fillId="14" borderId="20" xfId="0" applyFont="1" applyFill="1" applyBorder="1" applyAlignment="1">
      <alignment horizontal="center" vertical="center"/>
    </xf>
    <xf numFmtId="0" fontId="29" fillId="14" borderId="0" xfId="0" applyFont="1" applyFill="1" applyBorder="1" applyAlignment="1">
      <alignment horizontal="center" vertical="center"/>
    </xf>
    <xf numFmtId="0" fontId="29" fillId="14" borderId="17" xfId="0" applyFont="1" applyFill="1" applyBorder="1" applyAlignment="1">
      <alignment horizontal="center" vertical="center"/>
    </xf>
    <xf numFmtId="186" fontId="10" fillId="13" borderId="17" xfId="9" applyNumberFormat="1" applyFont="1" applyFill="1" applyBorder="1"/>
    <xf numFmtId="0" fontId="29" fillId="14" borderId="16" xfId="0" applyFont="1" applyFill="1" applyBorder="1" applyAlignment="1">
      <alignment horizontal="center"/>
    </xf>
    <xf numFmtId="0" fontId="29" fillId="14" borderId="0" xfId="0" applyFont="1" applyFill="1" applyBorder="1" applyAlignment="1">
      <alignment horizontal="center"/>
    </xf>
    <xf numFmtId="10" fontId="29" fillId="13" borderId="0" xfId="0" applyNumberFormat="1" applyFont="1" applyFill="1" applyBorder="1" applyAlignment="1">
      <alignment horizontal="center" vertical="center"/>
    </xf>
    <xf numFmtId="186" fontId="29" fillId="13" borderId="17" xfId="0" applyNumberFormat="1" applyFont="1" applyFill="1" applyBorder="1" applyAlignment="1">
      <alignment horizontal="center" vertical="center"/>
    </xf>
    <xf numFmtId="0" fontId="29" fillId="10" borderId="21" xfId="19" applyFont="1" applyFill="1" applyBorder="1" applyAlignment="1">
      <alignment horizontal="center" vertical="center" wrapText="1"/>
    </xf>
    <xf numFmtId="0" fontId="29" fillId="10" borderId="14" xfId="19" applyFont="1" applyFill="1" applyBorder="1" applyAlignment="1">
      <alignment horizontal="center" vertical="center" wrapText="1"/>
    </xf>
    <xf numFmtId="0" fontId="29" fillId="10" borderId="15" xfId="19" applyFont="1" applyFill="1" applyBorder="1" applyAlignment="1">
      <alignment horizontal="center" vertical="center" wrapText="1"/>
    </xf>
    <xf numFmtId="186" fontId="29" fillId="10" borderId="22" xfId="19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31" fillId="15" borderId="23" xfId="0" applyNumberFormat="1" applyFont="1" applyFill="1" applyBorder="1" applyAlignment="1" applyProtection="1">
      <alignment horizontal="center" vertical="center"/>
    </xf>
    <xf numFmtId="0" fontId="31" fillId="15" borderId="24" xfId="0" applyNumberFormat="1" applyFont="1" applyFill="1" applyBorder="1" applyAlignment="1" applyProtection="1">
      <alignment horizontal="center" vertical="center"/>
    </xf>
    <xf numFmtId="0" fontId="32" fillId="16" borderId="25" xfId="0" applyNumberFormat="1" applyFont="1" applyFill="1" applyBorder="1" applyAlignment="1" applyProtection="1">
      <alignment horizontal="left" vertical="center"/>
    </xf>
    <xf numFmtId="10" fontId="32" fillId="17" borderId="0" xfId="0" applyNumberFormat="1" applyFont="1" applyFill="1" applyBorder="1" applyAlignment="1" applyProtection="1">
      <alignment horizontal="center" vertical="center"/>
    </xf>
    <xf numFmtId="0" fontId="32" fillId="18" borderId="26" xfId="0" applyNumberFormat="1" applyFont="1" applyFill="1" applyBorder="1" applyAlignment="1" applyProtection="1">
      <alignment horizontal="left" vertical="center"/>
    </xf>
    <xf numFmtId="183" fontId="32" fillId="17" borderId="0" xfId="0" applyNumberFormat="1" applyFont="1" applyFill="1" applyBorder="1" applyAlignment="1" applyProtection="1">
      <alignment horizontal="center"/>
    </xf>
    <xf numFmtId="187" fontId="32" fillId="17" borderId="0" xfId="0" applyNumberFormat="1" applyFont="1" applyFill="1" applyBorder="1" applyAlignment="1" applyProtection="1">
      <alignment horizontal="center" vertical="center"/>
    </xf>
    <xf numFmtId="0" fontId="33" fillId="0" borderId="0" xfId="0" applyNumberFormat="1" applyFont="1" applyFill="1" applyBorder="1" applyAlignment="1" applyProtection="1"/>
    <xf numFmtId="0" fontId="34" fillId="19" borderId="27" xfId="0" applyFont="1" applyFill="1" applyBorder="1" applyAlignment="1">
      <alignment horizontal="center"/>
    </xf>
    <xf numFmtId="0" fontId="25" fillId="20" borderId="28" xfId="0" applyFont="1" applyFill="1" applyBorder="1" applyAlignment="1">
      <alignment horizontal="left" wrapText="1"/>
    </xf>
    <xf numFmtId="0" fontId="25" fillId="21" borderId="0" xfId="0" applyFont="1" applyFill="1" applyBorder="1" applyAlignment="1">
      <alignment horizontal="left" wrapText="1"/>
    </xf>
    <xf numFmtId="49" fontId="0" fillId="21" borderId="0" xfId="0" applyNumberFormat="1" applyFont="1" applyFill="1" applyBorder="1" applyAlignment="1">
      <alignment horizontal="left"/>
    </xf>
    <xf numFmtId="0" fontId="0" fillId="21" borderId="0" xfId="0" applyFont="1" applyFill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35" fillId="19" borderId="29" xfId="0" applyFont="1" applyFill="1" applyBorder="1" applyAlignment="1">
      <alignment horizontal="center"/>
    </xf>
    <xf numFmtId="0" fontId="0" fillId="20" borderId="30" xfId="0" applyFont="1" applyFill="1" applyBorder="1" applyAlignment="1">
      <alignment horizontal="center"/>
    </xf>
    <xf numFmtId="0" fontId="0" fillId="20" borderId="25" xfId="0" applyFont="1" applyFill="1" applyBorder="1"/>
    <xf numFmtId="0" fontId="0" fillId="22" borderId="25" xfId="0" applyFont="1" applyFill="1" applyBorder="1" applyAlignment="1">
      <alignment horizontal="center"/>
    </xf>
    <xf numFmtId="0" fontId="0" fillId="23" borderId="31" xfId="0" applyFont="1" applyFill="1" applyBorder="1" applyAlignment="1">
      <alignment horizontal="center"/>
    </xf>
    <xf numFmtId="0" fontId="0" fillId="23" borderId="32" xfId="0" applyFont="1" applyFill="1" applyBorder="1"/>
    <xf numFmtId="0" fontId="0" fillId="22" borderId="32" xfId="0" applyFont="1" applyFill="1" applyBorder="1" applyAlignment="1">
      <alignment horizontal="center"/>
    </xf>
    <xf numFmtId="0" fontId="0" fillId="20" borderId="31" xfId="0" applyFont="1" applyFill="1" applyBorder="1" applyAlignment="1">
      <alignment horizontal="center"/>
    </xf>
    <xf numFmtId="0" fontId="0" fillId="20" borderId="32" xfId="0" applyFont="1" applyFill="1" applyBorder="1"/>
    <xf numFmtId="0" fontId="35" fillId="19" borderId="27" xfId="0" applyFont="1" applyFill="1" applyBorder="1" applyAlignment="1">
      <alignment horizontal="center"/>
    </xf>
    <xf numFmtId="0" fontId="35" fillId="19" borderId="33" xfId="0" applyFont="1" applyFill="1" applyBorder="1" applyAlignment="1">
      <alignment horizontal="center" wrapText="1"/>
    </xf>
    <xf numFmtId="0" fontId="35" fillId="19" borderId="23" xfId="0" applyFont="1" applyFill="1" applyBorder="1" applyAlignment="1">
      <alignment horizontal="center"/>
    </xf>
    <xf numFmtId="0" fontId="0" fillId="20" borderId="32" xfId="0" applyFont="1" applyFill="1" applyBorder="1" applyAlignment="1">
      <alignment horizontal="center"/>
    </xf>
    <xf numFmtId="0" fontId="0" fillId="22" borderId="34" xfId="0" applyFont="1" applyFill="1" applyBorder="1" applyAlignment="1">
      <alignment horizontal="center"/>
    </xf>
    <xf numFmtId="0" fontId="0" fillId="23" borderId="32" xfId="0" applyFont="1" applyFill="1" applyBorder="1" applyAlignment="1">
      <alignment horizontal="center"/>
    </xf>
    <xf numFmtId="188" fontId="0" fillId="22" borderId="34" xfId="0" applyNumberFormat="1" applyFont="1" applyFill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22" borderId="0" xfId="0" applyFill="1" applyAlignment="1">
      <alignment horizontal="center"/>
    </xf>
    <xf numFmtId="188" fontId="0" fillId="22" borderId="0" xfId="0" applyNumberFormat="1" applyFill="1" applyAlignment="1">
      <alignment horizontal="center"/>
    </xf>
    <xf numFmtId="0" fontId="0" fillId="22" borderId="0" xfId="0" applyFont="1" applyFill="1" applyAlignment="1">
      <alignment horizontal="center"/>
    </xf>
    <xf numFmtId="49" fontId="0" fillId="2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8" fontId="0" fillId="22" borderId="0" xfId="0" applyNumberFormat="1" applyFont="1" applyFill="1" applyAlignment="1">
      <alignment horizontal="center"/>
    </xf>
    <xf numFmtId="188" fontId="0" fillId="0" borderId="0" xfId="0" applyNumberFormat="1" applyAlignment="1">
      <alignment horizontal="center"/>
    </xf>
    <xf numFmtId="0" fontId="35" fillId="1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35" fillId="19" borderId="0" xfId="0" applyFont="1" applyFill="1" applyBorder="1" applyAlignment="1">
      <alignment horizontal="center" vertical="center"/>
    </xf>
    <xf numFmtId="0" fontId="25" fillId="20" borderId="25" xfId="0" applyFont="1" applyFill="1" applyBorder="1" applyAlignment="1">
      <alignment horizontal="center" vertical="center"/>
    </xf>
    <xf numFmtId="183" fontId="0" fillId="22" borderId="26" xfId="0" applyNumberFormat="1" applyFont="1" applyFill="1" applyBorder="1" applyAlignment="1">
      <alignment horizontal="center" vertical="center"/>
    </xf>
    <xf numFmtId="0" fontId="25" fillId="23" borderId="26" xfId="0" applyFont="1" applyFill="1" applyBorder="1" applyAlignment="1">
      <alignment horizontal="center" vertical="center"/>
    </xf>
    <xf numFmtId="183" fontId="25" fillId="22" borderId="26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22" borderId="0" xfId="4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8" fontId="0" fillId="22" borderId="0" xfId="0" applyNumberFormat="1" applyFill="1" applyAlignment="1">
      <alignment horizontal="center" vertical="center"/>
    </xf>
    <xf numFmtId="188" fontId="0" fillId="0" borderId="0" xfId="0" applyNumberFormat="1" applyFont="1" applyAlignment="1">
      <alignment horizontal="left" vertical="center"/>
    </xf>
    <xf numFmtId="180" fontId="0" fillId="22" borderId="0" xfId="0" applyNumberFormat="1" applyFill="1" applyAlignment="1">
      <alignment horizontal="center" vertical="center"/>
    </xf>
    <xf numFmtId="10" fontId="0" fillId="0" borderId="0" xfId="4" applyNumberFormat="1" applyFont="1" applyBorder="1" applyAlignment="1" applyProtection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Font="1" applyAlignment="1">
      <alignment wrapText="1"/>
    </xf>
    <xf numFmtId="10" fontId="0" fillId="22" borderId="0" xfId="4" applyNumberFormat="1" applyFont="1" applyFill="1" applyBorder="1" applyAlignment="1" applyProtection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 vertical="center"/>
    </xf>
    <xf numFmtId="180" fontId="0" fillId="13" borderId="0" xfId="0" applyNumberFormat="1" applyFill="1" applyAlignment="1">
      <alignment horizontal="center" vertical="center"/>
    </xf>
    <xf numFmtId="0" fontId="35" fillId="19" borderId="0" xfId="0" applyFont="1" applyFill="1" applyBorder="1" applyAlignment="1">
      <alignment horizontal="center" wrapText="1"/>
    </xf>
    <xf numFmtId="178" fontId="0" fillId="2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36" fillId="0" borderId="0" xfId="0" applyFont="1" applyAlignment="1">
      <alignment horizontal="center" vertical="center" wrapText="1"/>
    </xf>
    <xf numFmtId="188" fontId="36" fillId="0" borderId="0" xfId="0" applyNumberFormat="1" applyFont="1" applyAlignment="1">
      <alignment vertical="center" wrapText="1"/>
    </xf>
    <xf numFmtId="0" fontId="36" fillId="0" borderId="0" xfId="0" applyFont="1" applyAlignment="1">
      <alignment horizontal="center"/>
    </xf>
    <xf numFmtId="188" fontId="36" fillId="0" borderId="0" xfId="0" applyNumberFormat="1" applyFont="1" applyAlignment="1">
      <alignment horizontal="center" wrapText="1"/>
    </xf>
    <xf numFmtId="188" fontId="37" fillId="22" borderId="0" xfId="0" applyNumberFormat="1" applyFont="1" applyFill="1" applyAlignment="1">
      <alignment horizontal="center"/>
    </xf>
    <xf numFmtId="188" fontId="0" fillId="0" borderId="0" xfId="0" applyNumberFormat="1" applyAlignment="1">
      <alignment horizontal="center" vertical="center"/>
    </xf>
    <xf numFmtId="188" fontId="26" fillId="22" borderId="0" xfId="0" applyNumberFormat="1" applyFont="1" applyFill="1" applyAlignment="1">
      <alignment horizontal="center"/>
    </xf>
    <xf numFmtId="0" fontId="35" fillId="19" borderId="23" xfId="0" applyFont="1" applyFill="1" applyBorder="1" applyAlignment="1">
      <alignment horizontal="center" vertical="center"/>
    </xf>
    <xf numFmtId="10" fontId="26" fillId="22" borderId="0" xfId="4" applyNumberFormat="1" applyFont="1" applyFill="1" applyBorder="1" applyAlignment="1" applyProtection="1">
      <alignment horizontal="center"/>
    </xf>
    <xf numFmtId="0" fontId="0" fillId="20" borderId="25" xfId="0" applyFont="1" applyFill="1" applyBorder="1" applyAlignment="1">
      <alignment horizontal="left" vertical="center"/>
    </xf>
    <xf numFmtId="0" fontId="0" fillId="23" borderId="26" xfId="0" applyFont="1" applyFill="1" applyBorder="1" applyAlignment="1">
      <alignment horizontal="left" vertical="center"/>
    </xf>
    <xf numFmtId="183" fontId="0" fillId="22" borderId="0" xfId="0" applyNumberFormat="1" applyFill="1"/>
    <xf numFmtId="187" fontId="0" fillId="22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38" fillId="19" borderId="0" xfId="0" applyFont="1" applyFill="1"/>
    <xf numFmtId="0" fontId="35" fillId="19" borderId="0" xfId="0" applyFont="1" applyFill="1" applyAlignment="1">
      <alignment horizontal="center" vertical="center"/>
    </xf>
    <xf numFmtId="188" fontId="35" fillId="19" borderId="0" xfId="0" applyNumberFormat="1" applyFont="1" applyFill="1" applyAlignment="1">
      <alignment horizontal="center"/>
    </xf>
    <xf numFmtId="0" fontId="39" fillId="19" borderId="27" xfId="0" applyFont="1" applyFill="1" applyBorder="1" applyAlignment="1">
      <alignment horizontal="center"/>
    </xf>
    <xf numFmtId="0" fontId="24" fillId="20" borderId="28" xfId="0" applyFont="1" applyFill="1" applyBorder="1" applyAlignment="1">
      <alignment horizontal="left" wrapText="1"/>
    </xf>
    <xf numFmtId="0" fontId="24" fillId="21" borderId="0" xfId="0" applyFont="1" applyFill="1" applyBorder="1" applyAlignment="1">
      <alignment horizontal="left" wrapText="1"/>
    </xf>
    <xf numFmtId="49" fontId="26" fillId="21" borderId="0" xfId="0" applyNumberFormat="1" applyFont="1" applyFill="1" applyBorder="1" applyAlignment="1">
      <alignment horizontal="left"/>
    </xf>
    <xf numFmtId="0" fontId="26" fillId="21" borderId="0" xfId="0" applyFont="1" applyFill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left"/>
    </xf>
    <xf numFmtId="0" fontId="24" fillId="19" borderId="29" xfId="0" applyFont="1" applyFill="1" applyBorder="1" applyAlignment="1">
      <alignment horizontal="center"/>
    </xf>
    <xf numFmtId="0" fontId="26" fillId="20" borderId="30" xfId="0" applyFont="1" applyFill="1" applyBorder="1" applyAlignment="1">
      <alignment horizontal="center"/>
    </xf>
    <xf numFmtId="0" fontId="26" fillId="20" borderId="25" xfId="0" applyFont="1" applyFill="1" applyBorder="1"/>
    <xf numFmtId="0" fontId="26" fillId="22" borderId="25" xfId="0" applyFont="1" applyFill="1" applyBorder="1" applyAlignment="1">
      <alignment horizontal="center"/>
    </xf>
    <xf numFmtId="0" fontId="26" fillId="23" borderId="31" xfId="0" applyFont="1" applyFill="1" applyBorder="1" applyAlignment="1">
      <alignment horizontal="center"/>
    </xf>
    <xf numFmtId="0" fontId="26" fillId="23" borderId="32" xfId="0" applyFont="1" applyFill="1" applyBorder="1"/>
    <xf numFmtId="0" fontId="26" fillId="22" borderId="32" xfId="0" applyFont="1" applyFill="1" applyBorder="1" applyAlignment="1">
      <alignment horizontal="center"/>
    </xf>
    <xf numFmtId="0" fontId="26" fillId="20" borderId="31" xfId="0" applyFont="1" applyFill="1" applyBorder="1" applyAlignment="1">
      <alignment horizontal="center"/>
    </xf>
    <xf numFmtId="0" fontId="26" fillId="20" borderId="32" xfId="0" applyFont="1" applyFill="1" applyBorder="1"/>
    <xf numFmtId="0" fontId="24" fillId="19" borderId="27" xfId="0" applyFont="1" applyFill="1" applyBorder="1" applyAlignment="1">
      <alignment horizontal="center"/>
    </xf>
    <xf numFmtId="0" fontId="24" fillId="19" borderId="33" xfId="0" applyFont="1" applyFill="1" applyBorder="1" applyAlignment="1">
      <alignment horizontal="center" wrapText="1"/>
    </xf>
    <xf numFmtId="0" fontId="24" fillId="19" borderId="23" xfId="0" applyFont="1" applyFill="1" applyBorder="1" applyAlignment="1">
      <alignment horizontal="center"/>
    </xf>
    <xf numFmtId="0" fontId="26" fillId="20" borderId="32" xfId="0" applyFont="1" applyFill="1" applyBorder="1" applyAlignment="1">
      <alignment horizontal="center"/>
    </xf>
    <xf numFmtId="0" fontId="26" fillId="22" borderId="34" xfId="0" applyFont="1" applyFill="1" applyBorder="1" applyAlignment="1">
      <alignment horizontal="center"/>
    </xf>
    <xf numFmtId="0" fontId="26" fillId="23" borderId="32" xfId="0" applyFont="1" applyFill="1" applyBorder="1" applyAlignment="1">
      <alignment horizontal="center"/>
    </xf>
    <xf numFmtId="188" fontId="26" fillId="22" borderId="34" xfId="0" applyNumberFormat="1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22" borderId="0" xfId="0" applyFont="1" applyFill="1" applyAlignment="1">
      <alignment horizontal="center"/>
    </xf>
    <xf numFmtId="49" fontId="26" fillId="22" borderId="0" xfId="0" applyNumberFormat="1" applyFont="1" applyFill="1" applyAlignment="1">
      <alignment horizontal="center"/>
    </xf>
    <xf numFmtId="10" fontId="26" fillId="0" borderId="0" xfId="0" applyNumberFormat="1" applyFont="1"/>
    <xf numFmtId="188" fontId="26" fillId="0" borderId="0" xfId="0" applyNumberFormat="1" applyFont="1" applyAlignment="1">
      <alignment horizontal="center"/>
    </xf>
    <xf numFmtId="0" fontId="24" fillId="19" borderId="0" xfId="0" applyFont="1" applyFill="1" applyBorder="1" applyAlignment="1">
      <alignment horizontal="center"/>
    </xf>
    <xf numFmtId="10" fontId="26" fillId="0" borderId="0" xfId="4" applyNumberFormat="1" applyFont="1" applyBorder="1" applyAlignment="1" applyProtection="1">
      <alignment horizontal="center"/>
    </xf>
    <xf numFmtId="0" fontId="26" fillId="0" borderId="0" xfId="0" applyFont="1" applyAlignment="1"/>
    <xf numFmtId="0" fontId="24" fillId="19" borderId="0" xfId="0" applyFont="1" applyFill="1" applyBorder="1" applyAlignment="1">
      <alignment horizontal="center" vertical="center"/>
    </xf>
    <xf numFmtId="0" fontId="24" fillId="20" borderId="25" xfId="0" applyFont="1" applyFill="1" applyBorder="1" applyAlignment="1">
      <alignment horizontal="center" vertical="center"/>
    </xf>
    <xf numFmtId="183" fontId="26" fillId="22" borderId="26" xfId="0" applyNumberFormat="1" applyFont="1" applyFill="1" applyBorder="1" applyAlignment="1">
      <alignment horizontal="center" vertical="center"/>
    </xf>
    <xf numFmtId="0" fontId="24" fillId="23" borderId="26" xfId="0" applyFont="1" applyFill="1" applyBorder="1" applyAlignment="1">
      <alignment horizontal="center" vertical="center"/>
    </xf>
    <xf numFmtId="183" fontId="24" fillId="22" borderId="26" xfId="0" applyNumberFormat="1" applyFont="1" applyFill="1" applyBorder="1" applyAlignment="1">
      <alignment horizontal="center" vertical="center"/>
    </xf>
    <xf numFmtId="10" fontId="26" fillId="0" borderId="0" xfId="0" applyNumberFormat="1" applyFont="1" applyAlignment="1">
      <alignment horizontal="center"/>
    </xf>
    <xf numFmtId="0" fontId="26" fillId="0" borderId="0" xfId="0" applyFont="1" applyAlignment="1">
      <alignment vertical="center"/>
    </xf>
    <xf numFmtId="188" fontId="26" fillId="22" borderId="0" xfId="0" applyNumberFormat="1" applyFont="1" applyFill="1" applyAlignment="1">
      <alignment horizontal="center" vertical="center"/>
    </xf>
    <xf numFmtId="188" fontId="26" fillId="0" borderId="0" xfId="0" applyNumberFormat="1" applyFont="1" applyAlignment="1">
      <alignment horizontal="left" vertical="center"/>
    </xf>
    <xf numFmtId="10" fontId="26" fillId="0" borderId="0" xfId="4" applyNumberFormat="1" applyFont="1" applyBorder="1" applyAlignment="1" applyProtection="1">
      <alignment horizontal="center" vertical="center"/>
    </xf>
    <xf numFmtId="0" fontId="26" fillId="0" borderId="0" xfId="0" applyFont="1" applyAlignment="1">
      <alignment wrapText="1"/>
    </xf>
    <xf numFmtId="10" fontId="26" fillId="22" borderId="0" xfId="4" applyNumberFormat="1" applyFont="1" applyFill="1" applyBorder="1" applyAlignment="1" applyProtection="1">
      <alignment horizontal="center" vertical="center"/>
    </xf>
    <xf numFmtId="10" fontId="26" fillId="13" borderId="0" xfId="4" applyNumberFormat="1" applyFont="1" applyFill="1" applyBorder="1" applyAlignment="1" applyProtection="1">
      <alignment horizontal="center" vertical="center"/>
    </xf>
    <xf numFmtId="188" fontId="26" fillId="13" borderId="0" xfId="0" applyNumberFormat="1" applyFont="1" applyFill="1" applyAlignment="1">
      <alignment horizontal="center"/>
    </xf>
    <xf numFmtId="0" fontId="24" fillId="19" borderId="0" xfId="0" applyFont="1" applyFill="1" applyBorder="1" applyAlignment="1">
      <alignment horizontal="center" wrapText="1"/>
    </xf>
    <xf numFmtId="178" fontId="26" fillId="22" borderId="0" xfId="0" applyNumberFormat="1" applyFont="1" applyFill="1" applyAlignment="1">
      <alignment horizontal="center"/>
    </xf>
    <xf numFmtId="0" fontId="26" fillId="0" borderId="0" xfId="0" applyFont="1" applyAlignment="1">
      <alignment vertical="center" wrapText="1"/>
    </xf>
    <xf numFmtId="188" fontId="36" fillId="0" borderId="0" xfId="0" applyNumberFormat="1" applyFont="1" applyAlignment="1">
      <alignment vertical="center"/>
    </xf>
    <xf numFmtId="188" fontId="36" fillId="0" borderId="0" xfId="0" applyNumberFormat="1" applyFont="1" applyAlignment="1">
      <alignment horizontal="center"/>
    </xf>
    <xf numFmtId="188" fontId="40" fillId="22" borderId="0" xfId="0" applyNumberFormat="1" applyFont="1" applyFill="1" applyAlignment="1">
      <alignment horizontal="center"/>
    </xf>
    <xf numFmtId="188" fontId="26" fillId="0" borderId="0" xfId="0" applyNumberFormat="1" applyFont="1" applyAlignment="1">
      <alignment horizontal="center" vertical="center"/>
    </xf>
    <xf numFmtId="0" fontId="24" fillId="19" borderId="23" xfId="0" applyFont="1" applyFill="1" applyBorder="1" applyAlignment="1">
      <alignment horizontal="center" vertical="center"/>
    </xf>
    <xf numFmtId="0" fontId="26" fillId="20" borderId="25" xfId="0" applyFont="1" applyFill="1" applyBorder="1" applyAlignment="1">
      <alignment horizontal="left" vertical="center"/>
    </xf>
    <xf numFmtId="0" fontId="26" fillId="23" borderId="26" xfId="0" applyFont="1" applyFill="1" applyBorder="1" applyAlignment="1">
      <alignment horizontal="left" vertical="center"/>
    </xf>
    <xf numFmtId="183" fontId="26" fillId="22" borderId="0" xfId="0" applyNumberFormat="1" applyFont="1" applyFill="1" applyAlignment="1">
      <alignment horizontal="center" vertical="center"/>
    </xf>
    <xf numFmtId="187" fontId="26" fillId="22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right"/>
    </xf>
    <xf numFmtId="0" fontId="26" fillId="19" borderId="0" xfId="0" applyFont="1" applyFill="1"/>
    <xf numFmtId="0" fontId="24" fillId="19" borderId="0" xfId="0" applyFont="1" applyFill="1" applyAlignment="1">
      <alignment horizontal="center" vertical="center"/>
    </xf>
    <xf numFmtId="188" fontId="24" fillId="19" borderId="0" xfId="0" applyNumberFormat="1" applyFont="1" applyFill="1" applyAlignment="1">
      <alignment horizontal="center"/>
    </xf>
    <xf numFmtId="188" fontId="0" fillId="13" borderId="0" xfId="0" applyNumberFormat="1" applyFill="1" applyAlignment="1">
      <alignment horizontal="center"/>
    </xf>
    <xf numFmtId="183" fontId="0" fillId="22" borderId="0" xfId="0" applyNumberFormat="1" applyFill="1" applyAlignment="1">
      <alignment horizontal="center"/>
    </xf>
    <xf numFmtId="0" fontId="41" fillId="0" borderId="0" xfId="0" applyFont="1"/>
    <xf numFmtId="0" fontId="38" fillId="19" borderId="0" xfId="0" applyFont="1" applyFill="1" applyAlignment="1">
      <alignment wrapText="1"/>
    </xf>
    <xf numFmtId="0" fontId="35" fillId="19" borderId="0" xfId="0" applyFont="1" applyFill="1" applyAlignment="1">
      <alignment horizontal="center" vertical="center" wrapText="1"/>
    </xf>
    <xf numFmtId="188" fontId="35" fillId="19" borderId="0" xfId="0" applyNumberFormat="1" applyFont="1" applyFill="1" applyAlignment="1">
      <alignment horizontal="center" wrapText="1"/>
    </xf>
    <xf numFmtId="0" fontId="25" fillId="0" borderId="35" xfId="0" applyFont="1" applyBorder="1" applyAlignment="1">
      <alignment horizontal="center"/>
    </xf>
    <xf numFmtId="184" fontId="0" fillId="22" borderId="0" xfId="9" applyFont="1" applyFill="1" applyBorder="1" applyAlignment="1" applyProtection="1">
      <alignment horizontal="center"/>
    </xf>
    <xf numFmtId="182" fontId="0" fillId="22" borderId="0" xfId="0" applyNumberFormat="1" applyFill="1" applyAlignment="1">
      <alignment horizontal="center"/>
    </xf>
    <xf numFmtId="9" fontId="0" fillId="22" borderId="0" xfId="0" applyNumberFormat="1" applyFill="1" applyAlignment="1">
      <alignment horizontal="center"/>
    </xf>
    <xf numFmtId="0" fontId="0" fillId="0" borderId="0" xfId="0" applyFont="1" applyAlignment="1"/>
    <xf numFmtId="10" fontId="0" fillId="2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8" fontId="0" fillId="0" borderId="0" xfId="0" applyNumberFormat="1" applyFont="1" applyAlignment="1">
      <alignment horizontal="center" vertical="center" wrapText="1"/>
    </xf>
    <xf numFmtId="188" fontId="38" fillId="19" borderId="0" xfId="0" applyNumberFormat="1" applyFont="1" applyFill="1" applyAlignment="1">
      <alignment horizontal="center"/>
    </xf>
    <xf numFmtId="0" fontId="25" fillId="24" borderId="36" xfId="0" applyFont="1" applyFill="1" applyBorder="1" applyAlignment="1">
      <alignment horizontal="center"/>
    </xf>
    <xf numFmtId="0" fontId="0" fillId="24" borderId="0" xfId="0" applyFont="1" applyFill="1" applyBorder="1" applyAlignment="1">
      <alignment horizontal="left" vertical="center" wrapText="1"/>
    </xf>
    <xf numFmtId="0" fontId="0" fillId="24" borderId="0" xfId="0" applyFont="1" applyFill="1" applyBorder="1" applyAlignment="1">
      <alignment horizontal="left" wrapText="1"/>
    </xf>
    <xf numFmtId="0" fontId="25" fillId="24" borderId="0" xfId="0" applyFont="1" applyFill="1" applyBorder="1" applyAlignment="1">
      <alignment horizontal="left" vertical="center" wrapText="1"/>
    </xf>
    <xf numFmtId="0" fontId="42" fillId="24" borderId="0" xfId="0" applyFont="1" applyFill="1" applyBorder="1" applyAlignment="1">
      <alignment horizontal="center"/>
    </xf>
    <xf numFmtId="0" fontId="0" fillId="2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26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0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-%20Custos%20dos%20Profissionais%20-%20Campus%20Cabedel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Auxiliar Administrativo"/>
      <sheetName val="Copeiro (a)"/>
      <sheetName val="Portaria"/>
      <sheetName val="Motorista Interestadual"/>
      <sheetName val="Eletricista"/>
      <sheetName val="Aulixiar de Manutenção Predial"/>
      <sheetName val="Diárias"/>
      <sheetName val="Uniformes"/>
      <sheetName val="Materiais e Equipamentos"/>
      <sheetName val="EPC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D8">
            <v>1</v>
          </cell>
        </row>
      </sheetData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5" totalsRowCount="1">
  <autoFilter ref="A58:D64"/>
  <tableColumns count="4">
    <tableColumn id="1" name="2.3" totalsRowLabel="Total" dataDxfId="86"/>
    <tableColumn id="2" name="Benefícios Mensais e Diários" dataDxfId="87"/>
    <tableColumn id="3" name="Comentário" dataDxfId="88"/>
    <tableColumn id="4" name="Valor" totalsRowFunction="custom">
      <totalsRowFormula>TRUNC((SUM(D59:D64)),2)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1:D98" totalsRowCount="1">
  <autoFilter ref="A91:D97"/>
  <tableColumns count="4">
    <tableColumn id="1" name="4.1" totalsRowLabel="Total" dataDxfId="90"/>
    <tableColumn id="2" name="Substituto nas Ausências Legais" dataDxfId="91"/>
    <tableColumn id="3" name="Percentual" totalsRowFunction="custom">
      <totalsRowFormula>SUM(C92:C97)</totalsRowFormula>
       dataDxfId="92"
    </tableColumn>
    <tableColumn id="4" name="Valor" totalsRowFunction="custom">
      <totalsRowFormula>TRUNC((SUM(D92:D97)),2)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8"/>
    <tableColumn id="2" name="Descrição" dataDxfId="99"/>
    <tableColumn id="3" name="Comentário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5:D82" totalsRowCount="1">
  <autoFilter ref="A75:D81"/>
  <tableColumns count="4">
    <tableColumn id="1" name="3" totalsRowLabel="Total" dataDxfId="102"/>
    <tableColumn id="2" name="Provisão para Rescisão" dataDxfId="103"/>
    <tableColumn id="3" name="Percentual" totalsRowFunction="custom">
      <totalsRowFormula>SUM(C76:C81)</totalsRowFormula>
       dataDxfId="104"
    </tableColumn>
    <tableColumn id="4" name="Valor" totalsRowFunction="custom">
      <totalsRowFormula>TRUNC((SUM(D76:D81)),2)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2:D118" totalsRowCount="1">
  <autoFilter ref="A112:D117"/>
  <tableColumns count="4">
    <tableColumn id="1" name="5" totalsRowLabel="Total" dataDxfId="106"/>
    <tableColumn id="2" name="Insumos Diversos" dataDxfId="107"/>
    <tableColumn id="3" name="Comentário" dataDxfId="108"/>
    <tableColumn id="4" name="Valor" totalsRowFunction="custom">
      <totalsRowFormula>TRUNC(SUM(D113:D117),2)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8:D135" totalsRowCount="1">
  <tableColumns count="4">
    <tableColumn id="1" name="6" totalsRowLabel="Total" dataDxfId="110"/>
    <tableColumn id="2" name="Custos Indiretos, Tributos e Lucro" dataDxfId="111"/>
    <tableColumn id="3" name="Percentual" dataDxfId="112"/>
    <tableColumn id="4" name="Valor" totalsRowFunction="custom">
      <totalsRowFormula>TRUNC(SUM(D129:D131),2)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8:D72" totalsRowCount="1">
  <autoFilter ref="A68:D71"/>
  <tableColumns count="4">
    <tableColumn id="1" name="2" totalsRowLabel="Total" dataDxfId="114"/>
    <tableColumn id="2" name="Encargos e Benefícios Anuais, Mensais e Diários" dataDxfId="115"/>
    <tableColumn id="3" name="Comentário" dataDxfId="116"/>
    <tableColumn id="4" name="Valor" totalsRowFunction="custom">
      <totalsRowFormula>TRUNC((SUM(D69:D71)),2)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18"/>
    <tableColumn id="2" name="13º (décimo terceiro) Salário, Férias e Adicional de Férias" dataDxfId="119"/>
    <tableColumn id="3" name="Percentual" dataDxfId="120"/>
    <tableColumn id="4" name="Valor" totalsRowFunction="custom">
      <totalsRowFormula>TRUNC((SUM(D37:D38)),2)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6:D109" totalsRowCount="1">
  <autoFilter ref="A106:D108"/>
  <tableColumns count="4">
    <tableColumn id="1" name="4" totalsRowLabel="Total" dataDxfId="122"/>
    <tableColumn id="2" name="Custo de Reposição do Profissional Ausente" dataDxfId="123"/>
    <tableColumn id="3" name="Comentário" totalsRowLabel="*Nota: Se o titular USUFRUIR do descanso intrajornada, o total é o somatório dos subitens 4.1 e 4.2" dataDxfId="124"/>
    <tableColumn id="4" name="Valor" totalsRowFunction="custom">
      <totalsRowFormula>TRUNC((SUM(D107:D108)),2)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26"/>
    <tableColumn id="2" name="GPS, FGTS e outras contribuições" dataDxfId="127"/>
    <tableColumn id="3" name="Percentual" totalsRowFunction="custom">
      <totalsRowFormula>SUM(C47:C54)</totalsRowFormula>
       dataDxfId="128"
    </tableColumn>
    <tableColumn id="4" name="Valor " totalsRowFunction="custom">
      <totalsRowFormula>TRUNC((SUM(D47:D54)),2)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39:D148" totalsRowShown="0">
  <autoFilter ref="A139:D148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34"/>
    <tableColumn id="2" name="Composição da Remuneração" dataDxfId="135"/>
    <tableColumn id="3" name="Comentário" dataDxfId="136"/>
    <tableColumn id="4" name="Valor" totalsRowFunction="custom">
      <totalsRowFormula>TRUNC(SUM(D25:D30),2)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38"/>
    <tableColumn id="2" name="Benefícios Mensais e Diários" dataDxfId="139"/>
    <tableColumn id="3" name="Comentário" dataDxfId="140"/>
    <tableColumn id="4" name="Valor" totalsRowFunction="custom">
      <totalsRowFormula>TRUNC((SUM(D59:D64)),2)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142"/>
    <tableColumn id="2" name="Substituto nas Ausências Legais" dataDxfId="143"/>
    <tableColumn id="3" name="Percentual" totalsRowFunction="custom">
      <totalsRowFormula>SUM(C92:C97)</totalsRowFormula>
       dataDxfId="144"
    </tableColumn>
    <tableColumn id="4" name="Valor" totalsRowFunction="custom">
      <totalsRowFormula>TRUNC((SUM(D92:D97)),2)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81" name="Table452_82" displayName="Table452_82" ref="A16:D21" totalsRowShown="0">
  <tableColumns count="4">
    <tableColumn id="1" name="Item" dataDxfId="150"/>
    <tableColumn id="2" name="Descrição" dataDxfId="151"/>
    <tableColumn id="3" name="Comentário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154"/>
    <tableColumn id="2" name="Provisão para Rescisão" dataDxfId="155"/>
    <tableColumn id="3" name="Percentual" totalsRowFunction="custom">
      <totalsRowFormula>SUM(C76:C81)</totalsRowFormula>
       dataDxfId="156"
    </tableColumn>
    <tableColumn id="4" name="Valor" totalsRowFunction="custom">
      <totalsRowFormula>TRUNC((SUM(D76:D81)),2)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158"/>
    <tableColumn id="2" name="Insumos Diversos" dataDxfId="159"/>
    <tableColumn id="3" name="Comentário" dataDxfId="160"/>
    <tableColumn id="4" name="Valor" totalsRowFunction="custom">
      <totalsRowFormula>TRUNC(SUM(D113:D117),2)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162"/>
    <tableColumn id="2" name="Custos Indiretos, Tributos e Lucro" dataDxfId="163"/>
    <tableColumn id="3" name="Percentual" dataDxfId="164"/>
    <tableColumn id="4" name="Valor" totalsRowFunction="custom">
      <totalsRowFormula>TRUNC(SUM(D129:D131),2)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166"/>
    <tableColumn id="2" name="Encargos e Benefícios Anuais, Mensais e Diários" dataDxfId="167"/>
    <tableColumn id="3" name="Comentário" dataDxfId="168"/>
    <tableColumn id="4" name="Valor" totalsRowFunction="custom">
      <totalsRowFormula>TRUNC(SUM(D69:D71),2)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70"/>
    <tableColumn id="2" name="13º (décimo terceiro) Salário, Férias e Adicional de Férias" dataDxfId="171"/>
    <tableColumn id="3" name="Percentual" dataDxfId="172"/>
    <tableColumn id="4" name="Valor" totalsRowFunction="custom">
      <totalsRowFormula>TRUNC((SUM(D37:D38)),2)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TRUNC((SUM(D107:D108)),2)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78"/>
    <tableColumn id="2" name="GPS, FGTS e outras contribuições" dataDxfId="179"/>
    <tableColumn id="3" name="Percentual" totalsRowFunction="custom">
      <totalsRowFormula>SUM(C47:C54)</totalsRowFormula>
       dataDxfId="180"
    </tableColumn>
    <tableColumn id="4" name="Valor " totalsRowFunction="custom">
      <totalsRowFormula>TRUNC((SUM(D47:D54)),2)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9" name="ResumoMódulo257_863099" displayName="ResumoMódulo257_863099" ref="A68:D72" totalsRowCount="1">
  <autoFilter ref="A68:D71"/>
  <tableColumns count="4">
    <tableColumn id="1" name="2" totalsRowLabel="Total" dataDxfId="186"/>
    <tableColumn id="2" name="Encargos e Benefícios Anuais, Mensais e Diários" dataDxfId="187"/>
    <tableColumn id="3" name="Comentário" dataDxfId="188"/>
    <tableColumn id="4" name="Valor" totalsRowFunction="custom">
      <totalsRowFormula>TRUNC(SUM(D69:D71),2)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11" name="Table452_8222100" displayName="Table452_8222100" ref="A16:D21" totalsRowShown="0">
  <tableColumns count="4">
    <tableColumn id="1" name="Item" dataDxfId="190"/>
    <tableColumn id="2" name="Descrição" dataDxfId="191"/>
    <tableColumn id="3" name="Comentário" dataDxfId="192"/>
    <tableColumn id="4" name="Valor" dataDxfId="193"/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13" name="ResumoMódulo461_881495" displayName="ResumoMódulo461_881495" ref="A106:D109" totalsRowCount="1">
  <autoFilter ref="A106:D108"/>
  <tableColumns count="4">
    <tableColumn id="1" name="4" totalsRowLabel="Total" dataDxfId="194"/>
    <tableColumn id="2" name="Custo de Reposição do Profissional Ausente" dataDxfId="195"/>
    <tableColumn id="3" name="Comentário" totalsRowLabel="*Nota: Se o titular USUFRUIR do descanso intrajornada, o total é o somatório dos subitens 4.1 e 4.2" dataDxfId="196"/>
    <tableColumn id="4" name="Valor" totalsRowFunction="custom">
      <totalsRowFormula>TRUNC((SUM(D107:D108)),2)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15" name="Submódulo2.356_7931101" displayName="Submódulo2.356_7931101" ref="A58:D65" totalsRowCount="1">
  <autoFilter ref="A58:D64"/>
  <tableColumns count="4">
    <tableColumn id="1" name="2.3" totalsRowLabel="Total" dataDxfId="198"/>
    <tableColumn id="2" name="Benefícios Mensais e Diários" dataDxfId="199"/>
    <tableColumn id="3" name="Comentário" dataDxfId="200"/>
    <tableColumn id="4" name="Valor" totalsRowFunction="custom">
      <totalsRowFormula>TRUNC((SUM(D59:D64)),2)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17" name="Módulo562_842491" displayName="Módulo562_842491" ref="A112:D118" totalsRowCount="1">
  <autoFilter ref="A112:D117"/>
  <tableColumns count="4">
    <tableColumn id="1" name="5" totalsRowLabel="Total" dataDxfId="202"/>
    <tableColumn id="2" name="Insumos Diversos" dataDxfId="203"/>
    <tableColumn id="3" name="Comentário" dataDxfId="204"/>
    <tableColumn id="4" name="Valor" totalsRowFunction="custom">
      <totalsRowFormula>TRUNC(SUM((D113:D117)),2)</totalsRowFormula>
       dataDxfId="205"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19" name="Módulo663_853293" displayName="Módulo663_853293" ref="A128:D135" totalsRowCount="1">
  <tableColumns count="4">
    <tableColumn id="1" name="6" totalsRowLabel="Total" dataDxfId="206"/>
    <tableColumn id="2" name="Custos Indiretos, Tributos e Lucro" dataDxfId="207"/>
    <tableColumn id="3" name="Percentual" dataDxfId="208"/>
    <tableColumn id="4" name="Valor" totalsRowFunction="custom">
      <totalsRowFormula>TRUNC(SUM(D129:D131),2)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21" name="Submódulo2.255_891692" displayName="Submódulo2.255_891692" ref="A46:D55" totalsRowCount="1">
  <autoFilter ref="A46:D54"/>
  <tableColumns count="4">
    <tableColumn id="1" name="2.2" totalsRowLabel="Total" dataDxfId="210"/>
    <tableColumn id="2" name="GPS, FGTS e outras contribuições" dataDxfId="211"/>
    <tableColumn id="3" name="Percentual" totalsRowFunction="custom">
      <totalsRowFormula>SUM(C47:C54)</totalsRowFormula>
       dataDxfId="212"
    </tableColumn>
    <tableColumn id="4" name="Valor " totalsRowFunction="custom">
      <totalsRowFormula>TRUNC((SUM(D47:D54)),2)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23" name="Módulo153_782896" displayName="Módulo153_782896" ref="A24:D31" totalsRowCount="1">
  <autoFilter ref="A24:D30"/>
  <tableColumns count="4">
    <tableColumn id="1" name="1" totalsRowLabel="Total" dataDxfId="214"/>
    <tableColumn id="2" name="Composição da Remuneração" dataDxfId="215"/>
    <tableColumn id="3" name="Comentário" dataDxfId="216"/>
    <tableColumn id="4" name="Valor" totalsRowFunction="custom">
      <totalsRowFormula>TRUNC(SUM(D25:D30),2)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25" name="Submódulo4.159_801898" displayName="Submódulo4.159_801898" ref="A91:D98" totalsRowCount="1">
  <autoFilter ref="A91:D97"/>
  <tableColumns count="4">
    <tableColumn id="1" name="4.1" totalsRowLabel="Total" dataDxfId="218"/>
    <tableColumn id="2" name="Substituto nas Ausências Legais" dataDxfId="219"/>
    <tableColumn id="3" name="Percentual" totalsRowFunction="custom">
      <totalsRowFormula>SUM(C92:C97)</totalsRowFormula>
       dataDxfId="220"
    </tableColumn>
    <tableColumn id="4" name="Valor" totalsRowFunction="custom">
      <totalsRowFormula>TRUNC((SUM(D92:D97)),2)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27" name="ResumoPosto64_901094" displayName="ResumoPosto64_901094" ref="A139:D147" totalsRowShown="0">
  <autoFilter ref="A139:D147"/>
  <tableColumns count="4">
    <tableColumn id="1" name="Item" dataDxfId="222"/>
    <tableColumn id="2" name="Mão de obra vinculada à execução contratual" dataDxfId="223"/>
    <tableColumn id="3" name="-" dataDxfId="224"/>
    <tableColumn id="4" name="Valor" dataDxfId="225"/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29" name="Módulo358_8326103" displayName="Módulo358_8326103" ref="A75:D82" totalsRowCount="1">
  <autoFilter ref="A75:D81"/>
  <tableColumns count="4">
    <tableColumn id="1" name="3" totalsRowLabel="Total" dataDxfId="226"/>
    <tableColumn id="2" name="Provisão para Rescisão" dataDxfId="227"/>
    <tableColumn id="3" name="Percentual" totalsRowFunction="custom">
      <totalsRowFormula>SUM(C76:C81)</totalsRowFormula>
       dataDxfId="228"
    </tableColumn>
    <tableColumn id="4" name="Valor" totalsRowFunction="custom">
      <totalsRowFormula>TRUNC((SUM(D76:D81)),2)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30" name="Submódulo2.154_871297" displayName="Submódulo2.154_871297" ref="A36:D39" totalsRowCount="1">
  <autoFilter ref="A36:D38"/>
  <tableColumns count="4">
    <tableColumn id="1" name="2.1" totalsRowLabel="Total" dataDxfId="230"/>
    <tableColumn id="2" name="13º (décimo terceiro) Salário, Férias e Adicional de Férias" dataDxfId="231"/>
    <tableColumn id="3" name="Percentual" dataDxfId="232"/>
    <tableColumn id="4" name="Valor" totalsRowFunction="custom">
      <totalsRowFormula>TRUNC((SUM(D37:D38)),2)</totalsRowFormula>
       dataDxfId="233"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31" name="Submódulo4.260_8120102" displayName="Submódulo4.260_8120102" ref="A101:D103" totalsRowCount="1">
  <autoFilter ref="A101:D102"/>
  <tableColumns count="4">
    <tableColumn id="1" name="4.2" totalsRowLabel="Total" dataDxfId="234"/>
    <tableColumn id="2" name="Substituto na Intrajornada " dataDxfId="235"/>
    <tableColumn id="3" name="Comentário" dataDxfId="236"/>
    <tableColumn id="4" name="Valor" totalsRowFunction="custom">
      <totalsRowFormula>D102</totalsRowFormula>
       dataDxfId="237"
    </tableColumn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238"/>
    <tableColumn id="2" name="Composição da Remuneração" dataDxfId="239"/>
    <tableColumn id="3" name="Comentário" dataDxfId="240"/>
    <tableColumn id="4" name="Valor" totalsRowFunction="custom">
      <totalsRowFormula>TRUNC(SUM(D25:D30),2)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39" name="Submódulo2.356_40" displayName="Submódulo2.356_40" ref="A58:D65" totalsRowCount="1">
  <autoFilter ref="A58:D64"/>
  <tableColumns count="4">
    <tableColumn id="1" name="2.3" totalsRowLabel="Total" dataDxfId="242"/>
    <tableColumn id="2" name="Benefícios Mensais e Diários" dataDxfId="243"/>
    <tableColumn id="3" name="Comentário" dataDxfId="244"/>
    <tableColumn id="4" name="Valor" totalsRowFunction="custom">
      <totalsRowFormula>TRUNC((SUM(D59:D64)),2)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40" name="Submódulo4.159_41" displayName="Submódulo4.159_41" ref="A91:D98" totalsRowCount="1">
  <autoFilter ref="A91:D97"/>
  <tableColumns count="4">
    <tableColumn id="1" name="4.1" totalsRowLabel="Total" dataDxfId="246"/>
    <tableColumn id="2" name="Substituto nas Ausências Legais" dataDxfId="247"/>
    <tableColumn id="3" name="Percentual" totalsRowFunction="custom">
      <totalsRowFormula>SUM(C92:C97)</totalsRowFormula>
       dataDxfId="248"
    </tableColumn>
    <tableColumn id="4" name="Valor" totalsRowFunction="custom">
      <totalsRowFormula>TRUNC((SUM(D92:D97)),2)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41" name="Submódulo4.260_42" displayName="Submódulo4.260_42" ref="A101:D103" totalsRowCount="1">
  <autoFilter ref="A101:D102"/>
  <tableColumns count="4">
    <tableColumn id="1" name="4.2" totalsRowLabel="Total" dataDxfId="250"/>
    <tableColumn id="2" name="Substituto na Intrajornada " dataDxfId="251"/>
    <tableColumn id="3" name="Comentário" dataDxfId="252"/>
    <tableColumn id="4" name="Valor" totalsRowFunction="custom">
      <totalsRowFormula>D102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42" name="Table452_43" displayName="Table452_43" ref="A16:D21" totalsRowShown="0">
  <tableColumns count="4">
    <tableColumn id="1" name="Item" dataDxfId="254"/>
    <tableColumn id="2" name="Descrição" dataDxfId="255"/>
    <tableColumn id="3" name="Comentário" dataDxfId="256"/>
    <tableColumn id="4" name="Valor" dataDxfId="257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43" name="Módulo358_44" displayName="Módulo358_44" ref="A75:D82" totalsRowCount="1">
  <autoFilter ref="A75:D81"/>
  <tableColumns count="4">
    <tableColumn id="1" name="3" totalsRowLabel="Total" dataDxfId="258"/>
    <tableColumn id="2" name="Provisão para Rescisão" dataDxfId="259"/>
    <tableColumn id="3" name="Percentual" totalsRowFunction="custom">
      <totalsRowFormula>SUM(C76:C81)</totalsRowFormula>
       dataDxfId="260"
    </tableColumn>
    <tableColumn id="4" name="Valor" totalsRowFunction="custom">
      <totalsRowFormula>TRUNC((SUM(D76:D81)),2)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44" name="Módulo562_45" displayName="Módulo562_45" ref="A112:D118" totalsRowCount="1">
  <autoFilter ref="A112:D117"/>
  <tableColumns count="4">
    <tableColumn id="1" name="5" totalsRowLabel="Total" dataDxfId="262"/>
    <tableColumn id="2" name="Insumos Diversos" dataDxfId="263"/>
    <tableColumn id="3" name="Comentário" dataDxfId="264"/>
    <tableColumn id="4" name="Valor" totalsRowFunction="custom">
      <totalsRowFormula>TRUNC(SUM(D113:D117),2)</totalsRowFormula>
       dataDxfId="265"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45" name="Módulo663_46" displayName="Módulo663_46" ref="A128:D135" totalsRowCount="1">
  <tableColumns count="4">
    <tableColumn id="1" name="6" totalsRowLabel="Total" dataDxfId="266"/>
    <tableColumn id="2" name="Custos Indiretos, Tributos e Lucro" dataDxfId="267"/>
    <tableColumn id="3" name="Percentual" dataDxfId="268"/>
    <tableColumn id="4" name="Valor" totalsRowFunction="custom">
      <totalsRowFormula>TRUNC(SUM(D129:D131),2)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46" name="ResumoMódulo257_47" displayName="ResumoMódulo257_47" ref="A68:D72" totalsRowCount="1">
  <autoFilter ref="A68:D71"/>
  <tableColumns count="4">
    <tableColumn id="1" name="2" totalsRowLabel="Total" dataDxfId="270"/>
    <tableColumn id="2" name="Encargos e Benefícios Anuais, Mensais e Diários" dataDxfId="271"/>
    <tableColumn id="3" name="Comentário" dataDxfId="272"/>
    <tableColumn id="4" name="Valor" totalsRowFunction="custom">
      <totalsRowFormula>TRUNC((SUM(D69:D71)),2)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274"/>
    <tableColumn id="2" name="13º (décimo terceiro) Salário, Férias e Adicional de Férias" dataDxfId="275"/>
    <tableColumn id="3" name="Percentual" dataDxfId="276"/>
    <tableColumn id="4" name="Valor" totalsRowFunction="custom">
      <totalsRowFormula>TRUNC((SUM(D37:D38)),2)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48" name="ResumoMódulo461_49" displayName="ResumoMódulo461_49" ref="A106:D109" totalsRowCount="1">
  <autoFilter ref="A106:D108"/>
  <tableColumns count="4">
    <tableColumn id="1" name="4" totalsRowLabel="Total" dataDxfId="278"/>
    <tableColumn id="2" name="Custo de Reposição do Profissional Ausente" dataDxfId="279"/>
    <tableColumn id="3" name="Comentário" totalsRowLabel="*Nota: Se o titular USUFRUIR do descanso intrajornada, o total é o somatório dos subitens 4.1 e 4.2" dataDxfId="280"/>
    <tableColumn id="4" name="Valor" totalsRowFunction="custom">
      <totalsRowFormula>TRUNC((SUM(D107:D108)),2)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282"/>
    <tableColumn id="2" name="GPS, FGTS e outras contribuições" dataDxfId="283"/>
    <tableColumn id="3" name="Percentual" totalsRowFunction="custom">
      <totalsRowFormula>SUM(C47:C54)</totalsRowFormula>
       dataDxfId="284"
    </tableColumn>
    <tableColumn id="4" name="Valor " totalsRowFunction="custom">
      <totalsRowFormula>TRUNC((SUM(D47:D54)),2)</totalsRowFormula>
       dataDxfId="285"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50" name="ResumoPosto64_51" displayName="ResumoPosto64_51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6667" displayName="Table43_143656667" ref="A3:H10">
  <autoFilter ref="A3:H10"/>
  <tableColumns count="8">
    <tableColumn id="1" name="ITEM" totalsRowLabel="Total" dataDxfId="290"/>
    <tableColumn id="2" name="PEÇA" dataDxfId="291"/>
    <tableColumn id="3" name="DESCRIÇÃO" dataDxfId="292"/>
    <tableColumn id="4" name="UNIDADE" dataDxfId="293"/>
    <tableColumn id="5" name="VALOR MÉDIO UNITÁRIO (R$)" dataDxfId="294"/>
    <tableColumn id="6" name="QUANTIDADE ANUAL" dataDxfId="295"/>
    <tableColumn id="7" name="VALOR ANUAL POR EMPREGADO (R$)" dataDxfId="296"/>
    <tableColumn id="8" name="VALOR MENSAL POR EMPREGADO (R$)" totalsRowFunction="sum" dataDxfId="297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Table43_14368" displayName="Table43_14368" ref="A16:H23">
  <autoFilter ref="A16:H23"/>
  <tableColumns count="8">
    <tableColumn id="1" name="ITEM" totalsRowLabel="Total" dataDxfId="298"/>
    <tableColumn id="2" name="PEÇA" dataDxfId="299"/>
    <tableColumn id="3" name="DESCRIÇÃO" dataDxfId="300"/>
    <tableColumn id="4" name="UNIDADE" dataDxfId="301"/>
    <tableColumn id="5" name="VALOR MÉDIO UNITÁRIO (R$)" dataDxfId="302"/>
    <tableColumn id="6" name="QUANTIDADE ANUAL" dataDxfId="303"/>
    <tableColumn id="7" name="VALOR ANUAL POR EMPREGADO (R$)" dataDxfId="304"/>
    <tableColumn id="8" name="VALOR MENSAL POR EMPREGADO (R$)" totalsRowFunction="sum" dataDxfId="305"/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3_2" displayName="Table43_2" ref="A2:G6" totalsRowCount="1">
  <autoFilter ref="A2:G5"/>
  <tableColumns count="7">
    <tableColumn id="1" name="Item" totalsRowLabel="Total" dataDxfId="306"/>
    <tableColumn id="2" name="Peça" dataDxfId="307"/>
    <tableColumn id="3" name="Descrição" dataDxfId="308"/>
    <tableColumn id="4" name="Valor Médio Unitário (R$)" dataDxfId="309"/>
    <tableColumn id="5" name="Quantidade Anual" dataDxfId="310"/>
    <tableColumn id="6" name="Valor Anual/ Empregado (R$)" dataDxfId="311"/>
    <tableColumn id="7" name="Valor Mensal/ Empregado" totalsRowFunction="sum" dataDxfId="312"/>
  </tableColumns>
  <tableStyleInfo name="TableStyleMedium14" showFirstColumn="0" showLastColumn="0" showRowStripes="1" showColumnStripes="0"/>
</table>
</file>

<file path=xl/tables/table78.xml><?xml version="1.0" encoding="utf-8"?>
<table xmlns="http://schemas.openxmlformats.org/spreadsheetml/2006/main" id="67" name="Table44" displayName="Table44" ref="A98:F119" totalsRowCount="1">
  <autoFilter ref="A98:F118"/>
  <tableColumns count="6">
    <tableColumn id="1" name="ITEM" totalsRowLabel="Total" dataDxfId="313"/>
    <tableColumn id="2" name="DESCRIÇÃO" dataDxfId="314"/>
    <tableColumn id="3" name="UNIDADE" dataDxfId="315"/>
    <tableColumn id="4" name="QUANTIDADE" dataDxfId="316"/>
    <tableColumn id="5" name="VALOR UNITÁRIO" dataDxfId="317"/>
    <tableColumn id="6" name="VALOR TOTAL" totalsRowFunction="sum" dataDxfId="318"/>
  </tableColumns>
  <tableStyleInfo name="TableStyleMedium14" showFirstColumn="0" showLastColumn="0" showRowStripes="1" showColumnStripes="0"/>
</table>
</file>

<file path=xl/tables/table79.xml><?xml version="1.0" encoding="utf-8"?>
<table xmlns="http://schemas.openxmlformats.org/spreadsheetml/2006/main" id="7" name="Table39" displayName="Table39" ref="A2:G8" totalsRowCount="1">
  <tableColumns count="7">
    <tableColumn id="1" name="Item" totalsRowLabel="TOTAL" dataDxfId="319"/>
    <tableColumn id="2" name="Descrição" dataDxfId="320"/>
    <tableColumn id="7" name="Unidade" dataDxfId="321"/>
    <tableColumn id="3" name="Quantidade (MÊS)" dataDxfId="322"/>
    <tableColumn id="6" name="VIGÊNCIA " dataDxfId="323"/>
    <tableColumn id="4" name="VALOR UNITÁRIO MÁXIMO ACEITÁVEL" dataDxfId="324"/>
    <tableColumn id="5" name="VALOR TOTAL MÁXIMO ACEITÁVEL" totalsRowFunction="custom">
      <totalsRowFormula>SUM(G3:G7)</totalsRowFormula>
       dataDxfId="325"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6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8.xml"/><Relationship Id="rId1" Type="http://schemas.openxmlformats.org/officeDocument/2006/relationships/table" Target="../tables/table7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2" ht="57" customHeight="1" spans="1:11">
      <c r="A2" s="311" t="s">
        <v>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ht="51" customHeight="1" spans="1:11">
      <c r="A3" s="311" t="s">
        <v>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</row>
    <row r="4" ht="54.75" customHeight="1" spans="1:11">
      <c r="A4" s="311" t="s">
        <v>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</row>
    <row r="5" ht="67.5" customHeight="1" spans="1:11">
      <c r="A5" s="312" t="s">
        <v>4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</row>
    <row r="6" ht="84.75" customHeight="1" spans="1:11">
      <c r="A6" s="312" t="s">
        <v>5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</row>
    <row r="7" ht="49.5" customHeight="1" spans="1:11">
      <c r="A7" s="312" t="s">
        <v>6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</row>
    <row r="8" ht="38.25" customHeight="1" spans="1:11">
      <c r="A8" s="312" t="s">
        <v>7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</row>
    <row r="9" ht="39.75" customHeight="1" spans="1:11">
      <c r="A9" s="311" t="s">
        <v>8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</row>
    <row r="10" ht="41.25" customHeight="1" spans="1:11">
      <c r="A10" s="311" t="s">
        <v>9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</row>
    <row r="11" ht="41.25" customHeight="1" spans="1:11">
      <c r="A11" s="313" t="s">
        <v>10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>
      <c r="A12" s="314" t="s">
        <v>11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</row>
    <row r="13" spans="1:11">
      <c r="A13" s="315" t="s">
        <v>12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</row>
    <row r="14" spans="1:11">
      <c r="A14" s="315" t="s">
        <v>13</v>
      </c>
      <c r="B14" s="315"/>
      <c r="C14" s="315"/>
      <c r="D14" s="315"/>
      <c r="E14" s="315"/>
      <c r="F14" s="315"/>
      <c r="G14" s="315"/>
      <c r="H14" s="315"/>
      <c r="I14" s="315"/>
      <c r="J14" s="315"/>
      <c r="K14" s="31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G28" sqref="G28"/>
    </sheetView>
  </sheetViews>
  <sheetFormatPr defaultColWidth="9.14285714285714" defaultRowHeight="15" outlineLevelCol="5"/>
  <cols>
    <col min="2" max="2" width="40.2857142857143" customWidth="1"/>
    <col min="3" max="3" width="14.4285714285714" customWidth="1"/>
    <col min="4" max="4" width="14.8571428571429" customWidth="1"/>
    <col min="5" max="5" width="12.4285714285714" customWidth="1"/>
    <col min="6" max="6" width="11" customWidth="1"/>
  </cols>
  <sheetData>
    <row r="1" spans="1:6">
      <c r="A1" s="11" t="s">
        <v>446</v>
      </c>
      <c r="B1" s="11"/>
      <c r="C1" s="11"/>
      <c r="D1" s="11"/>
      <c r="E1" s="11"/>
      <c r="F1" s="11"/>
    </row>
    <row r="2" spans="1:6">
      <c r="A2" s="12" t="s">
        <v>270</v>
      </c>
      <c r="B2" s="12" t="s">
        <v>272</v>
      </c>
      <c r="C2" s="12" t="s">
        <v>273</v>
      </c>
      <c r="D2" s="12" t="s">
        <v>275</v>
      </c>
      <c r="E2" s="12" t="s">
        <v>249</v>
      </c>
      <c r="F2" s="12" t="s">
        <v>337</v>
      </c>
    </row>
    <row r="3" spans="1:6">
      <c r="A3" s="12"/>
      <c r="B3" s="12"/>
      <c r="C3" s="12"/>
      <c r="D3" s="12"/>
      <c r="E3" s="12"/>
      <c r="F3" s="12"/>
    </row>
    <row r="4" spans="1:6">
      <c r="A4" s="12"/>
      <c r="B4" s="12"/>
      <c r="C4" s="12"/>
      <c r="D4" s="12"/>
      <c r="E4" s="12"/>
      <c r="F4" s="12"/>
    </row>
    <row r="5" spans="1:4">
      <c r="A5" s="13">
        <v>1</v>
      </c>
      <c r="B5" s="14" t="s">
        <v>447</v>
      </c>
      <c r="C5" s="14"/>
      <c r="D5" s="14"/>
    </row>
    <row r="6" ht="30" spans="1:6">
      <c r="A6" s="13"/>
      <c r="B6" s="15" t="s">
        <v>448</v>
      </c>
      <c r="C6" s="16" t="s">
        <v>280</v>
      </c>
      <c r="D6" s="16">
        <v>1</v>
      </c>
      <c r="E6" s="17">
        <v>32.87</v>
      </c>
      <c r="F6" s="17">
        <f t="shared" ref="F6:F18" si="0">TRUNC(E6*D6,2)</f>
        <v>32.87</v>
      </c>
    </row>
    <row r="7" spans="1:6">
      <c r="A7" s="13"/>
      <c r="B7" s="15" t="s">
        <v>449</v>
      </c>
      <c r="C7" s="16" t="s">
        <v>280</v>
      </c>
      <c r="D7" s="16">
        <v>1</v>
      </c>
      <c r="E7" s="17">
        <v>14.55</v>
      </c>
      <c r="F7" s="17">
        <f t="shared" si="0"/>
        <v>14.55</v>
      </c>
    </row>
    <row r="8" ht="30" spans="1:6">
      <c r="A8" s="13"/>
      <c r="B8" s="15" t="s">
        <v>450</v>
      </c>
      <c r="C8" s="16" t="s">
        <v>451</v>
      </c>
      <c r="D8" s="16">
        <v>1</v>
      </c>
      <c r="E8" s="17">
        <v>73.39</v>
      </c>
      <c r="F8" s="17">
        <f t="shared" si="0"/>
        <v>73.39</v>
      </c>
    </row>
    <row r="9" ht="30" spans="1:6">
      <c r="A9" s="13"/>
      <c r="B9" s="15" t="s">
        <v>452</v>
      </c>
      <c r="C9" s="16" t="s">
        <v>451</v>
      </c>
      <c r="D9" s="16">
        <v>1</v>
      </c>
      <c r="E9" s="17">
        <v>17.89</v>
      </c>
      <c r="F9" s="17">
        <f t="shared" si="0"/>
        <v>17.89</v>
      </c>
    </row>
    <row r="10" spans="1:6">
      <c r="A10" s="13"/>
      <c r="B10" s="15" t="s">
        <v>453</v>
      </c>
      <c r="C10" s="16" t="s">
        <v>454</v>
      </c>
      <c r="D10" s="16">
        <v>10</v>
      </c>
      <c r="E10" s="17">
        <v>1.5</v>
      </c>
      <c r="F10" s="17">
        <f t="shared" si="0"/>
        <v>15</v>
      </c>
    </row>
    <row r="11" spans="1:6">
      <c r="A11" s="13"/>
      <c r="B11" s="15" t="s">
        <v>455</v>
      </c>
      <c r="C11" s="16" t="s">
        <v>456</v>
      </c>
      <c r="D11" s="16">
        <v>2</v>
      </c>
      <c r="E11" s="17">
        <v>9.44</v>
      </c>
      <c r="F11" s="17">
        <f t="shared" si="0"/>
        <v>18.88</v>
      </c>
    </row>
    <row r="12" spans="1:6">
      <c r="A12" s="13"/>
      <c r="B12" s="15" t="s">
        <v>457</v>
      </c>
      <c r="C12" s="16" t="s">
        <v>456</v>
      </c>
      <c r="D12" s="16">
        <v>5</v>
      </c>
      <c r="E12" s="17">
        <v>0.81</v>
      </c>
      <c r="F12" s="17">
        <f t="shared" si="0"/>
        <v>4.05</v>
      </c>
    </row>
    <row r="13" spans="1:6">
      <c r="A13" s="13"/>
      <c r="B13" s="15" t="s">
        <v>458</v>
      </c>
      <c r="C13" s="16" t="s">
        <v>459</v>
      </c>
      <c r="D13" s="16">
        <v>2</v>
      </c>
      <c r="E13" s="17">
        <v>3.4</v>
      </c>
      <c r="F13" s="17">
        <f t="shared" si="0"/>
        <v>6.8</v>
      </c>
    </row>
    <row r="14" spans="1:6">
      <c r="A14" s="13"/>
      <c r="B14" s="15" t="s">
        <v>460</v>
      </c>
      <c r="C14" s="16" t="s">
        <v>459</v>
      </c>
      <c r="D14" s="16">
        <v>2</v>
      </c>
      <c r="E14" s="17">
        <v>3.35</v>
      </c>
      <c r="F14" s="17">
        <f t="shared" si="0"/>
        <v>6.7</v>
      </c>
    </row>
    <row r="15" ht="30" spans="1:6">
      <c r="A15" s="16">
        <v>2</v>
      </c>
      <c r="B15" s="15" t="s">
        <v>461</v>
      </c>
      <c r="C15" s="16" t="s">
        <v>456</v>
      </c>
      <c r="D15" s="16">
        <v>1</v>
      </c>
      <c r="E15" s="17">
        <v>356</v>
      </c>
      <c r="F15" s="17">
        <f t="shared" si="0"/>
        <v>356</v>
      </c>
    </row>
    <row r="16" spans="1:6">
      <c r="A16" s="16">
        <v>3</v>
      </c>
      <c r="B16" s="15" t="s">
        <v>462</v>
      </c>
      <c r="C16" s="16" t="s">
        <v>286</v>
      </c>
      <c r="D16" s="16">
        <v>1</v>
      </c>
      <c r="E16" s="17">
        <v>887.88</v>
      </c>
      <c r="F16" s="17">
        <f t="shared" si="0"/>
        <v>887.88</v>
      </c>
    </row>
    <row r="17" ht="30" spans="1:6">
      <c r="A17" s="16">
        <v>4</v>
      </c>
      <c r="B17" s="15" t="s">
        <v>463</v>
      </c>
      <c r="C17" s="16" t="s">
        <v>280</v>
      </c>
      <c r="D17" s="16">
        <v>3</v>
      </c>
      <c r="E17" s="17">
        <v>21.55</v>
      </c>
      <c r="F17" s="17">
        <f t="shared" si="0"/>
        <v>64.65</v>
      </c>
    </row>
    <row r="18" ht="30" spans="1:6">
      <c r="A18" s="16">
        <v>5</v>
      </c>
      <c r="B18" s="15" t="s">
        <v>464</v>
      </c>
      <c r="C18" s="16" t="s">
        <v>280</v>
      </c>
      <c r="D18" s="16">
        <v>6</v>
      </c>
      <c r="E18" s="17">
        <v>37.5</v>
      </c>
      <c r="F18" s="17">
        <f t="shared" si="0"/>
        <v>225</v>
      </c>
    </row>
    <row r="19" spans="1:6">
      <c r="A19" s="18" t="s">
        <v>337</v>
      </c>
      <c r="B19" s="18"/>
      <c r="C19" s="18"/>
      <c r="D19" s="18"/>
      <c r="E19" s="19">
        <f>TRUNC(SUM(F6:F18),2)</f>
        <v>1723.66</v>
      </c>
      <c r="F19" s="19"/>
    </row>
    <row r="20" spans="1:6">
      <c r="A20" s="11" t="s">
        <v>465</v>
      </c>
      <c r="B20" s="11"/>
      <c r="C20" s="11"/>
      <c r="D20" s="11"/>
      <c r="E20" s="20">
        <v>4</v>
      </c>
      <c r="F20" s="20"/>
    </row>
    <row r="21" spans="1:6">
      <c r="A21" s="11" t="s">
        <v>420</v>
      </c>
      <c r="B21" s="11"/>
      <c r="C21" s="11"/>
      <c r="D21" s="11"/>
      <c r="E21" s="21">
        <f>TRUNC((E19/E20)/12,2)</f>
        <v>35.9</v>
      </c>
      <c r="F21" s="21"/>
    </row>
  </sheetData>
  <mergeCells count="15">
    <mergeCell ref="A1:F1"/>
    <mergeCell ref="B5:D5"/>
    <mergeCell ref="A19:D19"/>
    <mergeCell ref="E19:F19"/>
    <mergeCell ref="A20:D20"/>
    <mergeCell ref="E20:F20"/>
    <mergeCell ref="A21:D21"/>
    <mergeCell ref="E21:F21"/>
    <mergeCell ref="A2:A4"/>
    <mergeCell ref="A5:A14"/>
    <mergeCell ref="B2:B4"/>
    <mergeCell ref="C2:C4"/>
    <mergeCell ref="D2:D4"/>
    <mergeCell ref="E2:E4"/>
    <mergeCell ref="F2:F4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A1" sqref="A1:G9"/>
    </sheetView>
  </sheetViews>
  <sheetFormatPr defaultColWidth="8.88571428571429" defaultRowHeight="15" outlineLevelCol="6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1" t="s">
        <v>466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280</v>
      </c>
      <c r="D2" s="4" t="s">
        <v>467</v>
      </c>
      <c r="E2" s="4" t="s">
        <v>468</v>
      </c>
      <c r="F2" s="4" t="s">
        <v>469</v>
      </c>
      <c r="G2" s="4" t="s">
        <v>470</v>
      </c>
    </row>
    <row r="3" ht="135" spans="1:7">
      <c r="A3" s="5">
        <v>1</v>
      </c>
      <c r="B3" s="6" t="s">
        <v>471</v>
      </c>
      <c r="C3" s="4" t="s">
        <v>472</v>
      </c>
      <c r="D3" s="5">
        <v>1</v>
      </c>
      <c r="E3" s="5">
        <v>12</v>
      </c>
      <c r="F3" s="7">
        <f>Portaria!D148</f>
        <v>6131.1</v>
      </c>
      <c r="G3" s="7">
        <f>(D3*F3)*(E3)</f>
        <v>73573.2</v>
      </c>
    </row>
    <row r="4" ht="90" spans="1:7">
      <c r="A4" s="5">
        <v>2</v>
      </c>
      <c r="B4" s="6" t="s">
        <v>473</v>
      </c>
      <c r="C4" s="4" t="s">
        <v>472</v>
      </c>
      <c r="D4" s="5">
        <v>1</v>
      </c>
      <c r="E4" s="5">
        <v>12</v>
      </c>
      <c r="F4" s="7">
        <f>'Motorista Interestadual'!D147</f>
        <v>6424.22</v>
      </c>
      <c r="G4" s="7">
        <f>(D4*F4)*(E4)</f>
        <v>77090.64</v>
      </c>
    </row>
    <row r="5" ht="90" spans="1:7">
      <c r="A5" s="5">
        <v>3</v>
      </c>
      <c r="B5" s="6" t="s">
        <v>474</v>
      </c>
      <c r="C5" s="4" t="s">
        <v>472</v>
      </c>
      <c r="D5" s="5">
        <v>1</v>
      </c>
      <c r="E5" s="5">
        <v>12</v>
      </c>
      <c r="F5" s="7">
        <f>'Auxiliar de Manutenção Predial'!D147</f>
        <v>4347.36</v>
      </c>
      <c r="G5" s="7">
        <f>(D5*F5)*(E5)</f>
        <v>52168.32</v>
      </c>
    </row>
    <row r="6" ht="75" spans="1:7">
      <c r="A6" s="5">
        <v>4</v>
      </c>
      <c r="B6" s="6" t="s">
        <v>475</v>
      </c>
      <c r="C6" s="4" t="s">
        <v>472</v>
      </c>
      <c r="D6" s="5">
        <v>1</v>
      </c>
      <c r="E6" s="5">
        <v>12</v>
      </c>
      <c r="F6" s="7">
        <f>Jardineiro!D147</f>
        <v>3146.61</v>
      </c>
      <c r="G6" s="7">
        <f>(D6*F6)*(E6)</f>
        <v>37759.32</v>
      </c>
    </row>
    <row r="7" ht="30" spans="1:7">
      <c r="A7" s="5">
        <v>5</v>
      </c>
      <c r="B7" s="6" t="s">
        <v>476</v>
      </c>
      <c r="C7" s="4" t="s">
        <v>472</v>
      </c>
      <c r="D7" s="5">
        <v>250</v>
      </c>
      <c r="E7" s="5">
        <v>12</v>
      </c>
      <c r="F7" s="7">
        <f>Diárias!E19</f>
        <v>190.08</v>
      </c>
      <c r="G7" s="7">
        <f>(D7*F7)</f>
        <v>47520</v>
      </c>
    </row>
    <row r="8" spans="1:7">
      <c r="A8" s="8" t="s">
        <v>204</v>
      </c>
      <c r="B8" s="8"/>
      <c r="C8" s="8"/>
      <c r="D8" s="8"/>
      <c r="E8" s="8"/>
      <c r="F8" s="8"/>
      <c r="G8" s="9">
        <f>SUM(G3:G7)</f>
        <v>288111.48</v>
      </c>
    </row>
    <row r="9" spans="1:7">
      <c r="A9" s="10"/>
      <c r="B9" s="10"/>
      <c r="C9" s="10"/>
      <c r="D9" s="10"/>
      <c r="E9" s="10"/>
      <c r="F9" s="10"/>
      <c r="G9" s="10"/>
    </row>
    <row r="10" spans="1:7">
      <c r="A10" s="8"/>
      <c r="B10" s="8"/>
      <c r="C10" s="8"/>
      <c r="D10" s="8"/>
      <c r="E10" s="8"/>
      <c r="F10" s="8"/>
      <c r="G10" s="8"/>
    </row>
    <row r="11" spans="1:7">
      <c r="A11" s="8"/>
      <c r="B11" s="8"/>
      <c r="C11" s="8"/>
      <c r="D11" s="8"/>
      <c r="E11" s="8"/>
      <c r="F11" s="8"/>
      <c r="G11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296" t="s">
        <v>14</v>
      </c>
      <c r="B1" s="296"/>
      <c r="C1" s="296"/>
      <c r="D1" s="296"/>
      <c r="F1" s="176" t="s">
        <v>15</v>
      </c>
      <c r="G1" s="176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</row>
    <row r="2" spans="1:21">
      <c r="A2" s="177" t="s">
        <v>16</v>
      </c>
      <c r="B2" t="s">
        <v>17</v>
      </c>
      <c r="C2" s="177" t="s">
        <v>18</v>
      </c>
      <c r="D2" s="177" t="s">
        <v>19</v>
      </c>
      <c r="F2" s="182" t="s">
        <v>17</v>
      </c>
      <c r="G2" s="182" t="s">
        <v>19</v>
      </c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1">
      <c r="A3" s="177">
        <v>1</v>
      </c>
      <c r="B3" t="s">
        <v>20</v>
      </c>
      <c r="C3" s="177"/>
      <c r="D3" s="177" t="s">
        <v>21</v>
      </c>
      <c r="F3" t="s">
        <v>22</v>
      </c>
      <c r="G3" s="297">
        <v>0</v>
      </c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1">
      <c r="A4" s="177">
        <v>2</v>
      </c>
      <c r="B4" t="s">
        <v>23</v>
      </c>
      <c r="C4" s="177"/>
      <c r="D4" s="177" t="s">
        <v>24</v>
      </c>
      <c r="F4" t="s">
        <v>25</v>
      </c>
      <c r="G4" s="297">
        <v>12</v>
      </c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</row>
    <row r="5" spans="1:21">
      <c r="A5" s="177">
        <v>3</v>
      </c>
      <c r="B5" t="s">
        <v>26</v>
      </c>
      <c r="C5" s="177" t="s">
        <v>27</v>
      </c>
      <c r="D5" s="298">
        <v>998</v>
      </c>
      <c r="F5" t="s">
        <v>28</v>
      </c>
      <c r="G5" s="178">
        <v>22</v>
      </c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</row>
    <row r="6" spans="1:21">
      <c r="A6" s="177">
        <v>4</v>
      </c>
      <c r="B6" t="s">
        <v>29</v>
      </c>
      <c r="C6" s="177" t="s">
        <v>30</v>
      </c>
      <c r="D6" s="177" t="s">
        <v>31</v>
      </c>
      <c r="F6" t="s">
        <v>32</v>
      </c>
      <c r="G6" s="299">
        <v>0.03</v>
      </c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</row>
    <row r="7" spans="1:21">
      <c r="A7" s="177">
        <v>5</v>
      </c>
      <c r="B7" t="s">
        <v>33</v>
      </c>
      <c r="C7" s="177"/>
      <c r="D7" s="177" t="s">
        <v>34</v>
      </c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</row>
    <row r="8" spans="6:21">
      <c r="F8" s="176" t="s">
        <v>35</v>
      </c>
      <c r="G8" s="176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</row>
    <row r="9" spans="1:21">
      <c r="A9" s="160" t="s">
        <v>36</v>
      </c>
      <c r="B9" s="160"/>
      <c r="C9" s="160"/>
      <c r="D9" s="160"/>
      <c r="F9" s="182" t="s">
        <v>37</v>
      </c>
      <c r="G9" s="182" t="s">
        <v>38</v>
      </c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</row>
    <row r="10" spans="1:21">
      <c r="A10" s="177" t="s">
        <v>39</v>
      </c>
      <c r="B10" s="182" t="s">
        <v>40</v>
      </c>
      <c r="C10" s="177" t="s">
        <v>18</v>
      </c>
      <c r="D10" s="177" t="s">
        <v>19</v>
      </c>
      <c r="F10" t="s">
        <v>41</v>
      </c>
      <c r="G10" s="183">
        <v>0.4337</v>
      </c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</row>
    <row r="11" spans="1:21">
      <c r="A11" s="177" t="s">
        <v>42</v>
      </c>
      <c r="B11" t="s">
        <v>43</v>
      </c>
      <c r="C11" s="177"/>
      <c r="D11" s="185">
        <f>Salário_Normativo_da_Categoria_Profissional</f>
        <v>998</v>
      </c>
      <c r="F11" t="s">
        <v>44</v>
      </c>
      <c r="G11" s="183">
        <v>0.4337</v>
      </c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</row>
    <row r="12" spans="1:21">
      <c r="A12" s="177" t="s">
        <v>45</v>
      </c>
      <c r="B12" t="s">
        <v>46</v>
      </c>
      <c r="C12" s="177"/>
      <c r="D12" s="185"/>
      <c r="F12" t="s">
        <v>47</v>
      </c>
      <c r="G12" s="183">
        <v>0.0218</v>
      </c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</row>
    <row r="13" spans="1:21">
      <c r="A13" s="177" t="s">
        <v>48</v>
      </c>
      <c r="B13" t="s">
        <v>49</v>
      </c>
      <c r="C13" s="177"/>
      <c r="D13" s="185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</row>
    <row r="14" spans="1:21">
      <c r="A14" s="177" t="s">
        <v>50</v>
      </c>
      <c r="B14" t="s">
        <v>51</v>
      </c>
      <c r="C14" s="177"/>
      <c r="D14" s="185"/>
      <c r="F14" s="176" t="s">
        <v>52</v>
      </c>
      <c r="G14" s="176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</row>
    <row r="15" spans="1:21">
      <c r="A15" s="177" t="s">
        <v>53</v>
      </c>
      <c r="B15" t="s">
        <v>54</v>
      </c>
      <c r="C15" s="177"/>
      <c r="D15" s="185"/>
      <c r="F15" s="300" t="s">
        <v>17</v>
      </c>
      <c r="G15" s="300" t="s">
        <v>38</v>
      </c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</row>
    <row r="16" spans="1:21">
      <c r="A16" s="177" t="s">
        <v>55</v>
      </c>
      <c r="B16" t="s">
        <v>56</v>
      </c>
      <c r="C16" s="177"/>
      <c r="D16" s="185"/>
      <c r="F16" s="188" t="s">
        <v>57</v>
      </c>
      <c r="G16" s="301">
        <v>0.0471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</row>
    <row r="17" spans="1:21">
      <c r="A17" s="177" t="s">
        <v>58</v>
      </c>
      <c r="C17" s="177"/>
      <c r="D17" s="185">
        <f>SUBTOTAL(109,Módulo1[Valor])</f>
        <v>998</v>
      </c>
      <c r="F17" s="188" t="s">
        <v>59</v>
      </c>
      <c r="G17" s="301">
        <v>0.0467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</row>
    <row r="18" spans="6:21">
      <c r="F18" s="188" t="s">
        <v>60</v>
      </c>
      <c r="G18" s="302">
        <v>0.0165</v>
      </c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19" spans="1:21">
      <c r="A19" s="186" t="s">
        <v>61</v>
      </c>
      <c r="B19" s="186"/>
      <c r="C19" s="186"/>
      <c r="D19" s="186"/>
      <c r="F19" s="188" t="s">
        <v>62</v>
      </c>
      <c r="G19" s="302">
        <v>0.076</v>
      </c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</row>
    <row r="20" spans="1:21">
      <c r="A20" s="176" t="s">
        <v>63</v>
      </c>
      <c r="B20" s="176"/>
      <c r="C20" s="176"/>
      <c r="D20" s="176"/>
      <c r="F20" s="188" t="s">
        <v>64</v>
      </c>
      <c r="G20" s="302">
        <v>0.05</v>
      </c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</row>
    <row r="21" spans="1:21">
      <c r="A21" s="177" t="s">
        <v>65</v>
      </c>
      <c r="B21" s="182" t="s">
        <v>66</v>
      </c>
      <c r="C21" s="177" t="s">
        <v>18</v>
      </c>
      <c r="D21" s="177" t="s">
        <v>19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</row>
    <row r="22" spans="1:21">
      <c r="A22" s="177" t="s">
        <v>42</v>
      </c>
      <c r="B22" t="s">
        <v>67</v>
      </c>
      <c r="D22" s="185">
        <f>Módulo1[[#Totals],[Valor]]/12</f>
        <v>83.1666666666667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</row>
    <row r="23" spans="1:21">
      <c r="A23" s="177" t="s">
        <v>45</v>
      </c>
      <c r="B23" t="s">
        <v>68</v>
      </c>
      <c r="D23" s="185">
        <f>(Módulo1[[#Totals],[Valor]]/12)*(1+(1/3))</f>
        <v>110.888888888889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</row>
    <row r="24" spans="1:21">
      <c r="A24" s="177" t="s">
        <v>58</v>
      </c>
      <c r="D24" s="185">
        <f>SUBTOTAL(109,Submódulo2.1[Valor])</f>
        <v>194.055555555556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</row>
    <row r="25" spans="1:21">
      <c r="A25" s="177"/>
      <c r="D25" s="185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</row>
    <row r="26" spans="1:21">
      <c r="A26" s="303" t="s">
        <v>69</v>
      </c>
      <c r="B26" s="303"/>
      <c r="C26" s="303"/>
      <c r="D26" s="303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</row>
    <row r="27" spans="1:21">
      <c r="A27" s="303" t="s">
        <v>16</v>
      </c>
      <c r="B27" s="303" t="s">
        <v>70</v>
      </c>
      <c r="C27" s="303" t="s">
        <v>71</v>
      </c>
      <c r="D27" s="304" t="s">
        <v>72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</row>
    <row r="28" ht="30" spans="1:21">
      <c r="A28" s="196" t="s">
        <v>42</v>
      </c>
      <c r="B28" s="305" t="s">
        <v>73</v>
      </c>
      <c r="C28" s="306" t="s">
        <v>74</v>
      </c>
      <c r="D28" s="305" t="s">
        <v>75</v>
      </c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</row>
    <row r="29" ht="30" spans="1:21">
      <c r="A29" s="196" t="s">
        <v>45</v>
      </c>
      <c r="B29" s="307" t="s">
        <v>68</v>
      </c>
      <c r="C29" s="306" t="s">
        <v>74</v>
      </c>
      <c r="D29" s="305" t="s">
        <v>76</v>
      </c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</row>
    <row r="30" spans="1:21">
      <c r="A30" s="177"/>
      <c r="B30" s="177"/>
      <c r="C30" s="209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</row>
    <row r="31" spans="1:4">
      <c r="A31" s="176" t="s">
        <v>77</v>
      </c>
      <c r="B31" s="176"/>
      <c r="C31" s="176"/>
      <c r="D31" s="176"/>
    </row>
    <row r="32" spans="1:4">
      <c r="A32" s="177" t="s">
        <v>78</v>
      </c>
      <c r="B32" s="182" t="s">
        <v>79</v>
      </c>
      <c r="C32" s="177" t="s">
        <v>38</v>
      </c>
      <c r="D32" s="177" t="s">
        <v>80</v>
      </c>
    </row>
    <row r="33" spans="1:4">
      <c r="A33" s="177" t="s">
        <v>42</v>
      </c>
      <c r="B33" t="s">
        <v>81</v>
      </c>
      <c r="C33" s="187">
        <v>0.2</v>
      </c>
      <c r="D33" s="185">
        <f>C33*(Módulo1[[#Totals],[Valor]]+Submódulo2.1[[#Totals],[Valor]])</f>
        <v>238.411111111111</v>
      </c>
    </row>
    <row r="34" spans="1:4">
      <c r="A34" s="177" t="s">
        <v>45</v>
      </c>
      <c r="B34" t="s">
        <v>82</v>
      </c>
      <c r="C34" s="187">
        <v>0.025</v>
      </c>
      <c r="D34" s="185">
        <f>C34*(Módulo1[[#Totals],[Valor]]+Submódulo2.1[[#Totals],[Valor]])</f>
        <v>29.8013888888889</v>
      </c>
    </row>
    <row r="35" spans="1:4">
      <c r="A35" s="177" t="s">
        <v>48</v>
      </c>
      <c r="B35" t="s">
        <v>83</v>
      </c>
      <c r="C35" s="187">
        <f>Servente!G6</f>
        <v>0.03</v>
      </c>
      <c r="D35" s="185">
        <f>C35*(Módulo1[[#Totals],[Valor]]+Submódulo2.1[[#Totals],[Valor]])</f>
        <v>35.7616666666667</v>
      </c>
    </row>
    <row r="36" spans="1:4">
      <c r="A36" s="177" t="s">
        <v>50</v>
      </c>
      <c r="B36" t="s">
        <v>84</v>
      </c>
      <c r="C36" s="187">
        <v>0.015</v>
      </c>
      <c r="D36" s="185">
        <f>C36*(Módulo1[[#Totals],[Valor]]+Submódulo2.1[[#Totals],[Valor]])</f>
        <v>17.8808333333333</v>
      </c>
    </row>
    <row r="37" spans="1:4">
      <c r="A37" s="177" t="s">
        <v>53</v>
      </c>
      <c r="B37" t="s">
        <v>85</v>
      </c>
      <c r="C37" s="187">
        <v>0.01</v>
      </c>
      <c r="D37" s="185">
        <f>C37*(Módulo1[[#Totals],[Valor]]+Submódulo2.1[[#Totals],[Valor]])</f>
        <v>11.9205555555556</v>
      </c>
    </row>
    <row r="38" spans="1:4">
      <c r="A38" s="177" t="s">
        <v>55</v>
      </c>
      <c r="B38" t="s">
        <v>86</v>
      </c>
      <c r="C38" s="187">
        <v>0.006</v>
      </c>
      <c r="D38" s="185">
        <f>C38*(Módulo1[[#Totals],[Valor]]+Submódulo2.1[[#Totals],[Valor]])</f>
        <v>7.15233333333333</v>
      </c>
    </row>
    <row r="39" spans="1:4">
      <c r="A39" s="177" t="s">
        <v>87</v>
      </c>
      <c r="B39" t="s">
        <v>88</v>
      </c>
      <c r="C39" s="187">
        <v>0.002</v>
      </c>
      <c r="D39" s="185">
        <f>C39*(Módulo1[[#Totals],[Valor]]+Submódulo2.1[[#Totals],[Valor]])</f>
        <v>2.38411111111111</v>
      </c>
    </row>
    <row r="40" spans="1:4">
      <c r="A40" s="177" t="s">
        <v>89</v>
      </c>
      <c r="B40" t="s">
        <v>90</v>
      </c>
      <c r="C40" s="187">
        <v>0.08</v>
      </c>
      <c r="D40" s="185">
        <f>C40*(Módulo1[[#Totals],[Valor]]+Submódulo2.1[[#Totals],[Valor]])</f>
        <v>95.3644444444445</v>
      </c>
    </row>
    <row r="41" spans="1:4">
      <c r="A41" s="177" t="s">
        <v>58</v>
      </c>
      <c r="C41" s="194">
        <f>SUBTOTAL(109,Submódulo2.2[Percentual])</f>
        <v>0.368</v>
      </c>
      <c r="D41" s="185">
        <f>SUBTOTAL(109,Submódulo2.2[Valor ])</f>
        <v>438.676444444444</v>
      </c>
    </row>
    <row r="42" spans="1:4">
      <c r="A42" s="177"/>
      <c r="C42" s="194"/>
      <c r="D42" s="185"/>
    </row>
    <row r="43" spans="1:4">
      <c r="A43" s="303" t="s">
        <v>91</v>
      </c>
      <c r="B43" s="303"/>
      <c r="C43" s="303"/>
      <c r="D43" s="303"/>
    </row>
    <row r="44" spans="1:4">
      <c r="A44" s="303" t="s">
        <v>16</v>
      </c>
      <c r="B44" s="303" t="s">
        <v>70</v>
      </c>
      <c r="C44" s="303" t="s">
        <v>71</v>
      </c>
      <c r="D44" s="304" t="s">
        <v>72</v>
      </c>
    </row>
    <row r="45" ht="30" spans="1:4">
      <c r="A45" s="196" t="s">
        <v>92</v>
      </c>
      <c r="B45" s="305" t="s">
        <v>79</v>
      </c>
      <c r="C45" s="305" t="s">
        <v>93</v>
      </c>
      <c r="D45" s="305" t="s">
        <v>94</v>
      </c>
    </row>
    <row r="47" spans="1:4">
      <c r="A47" s="176" t="s">
        <v>95</v>
      </c>
      <c r="B47" s="176"/>
      <c r="C47" s="176"/>
      <c r="D47" s="176"/>
    </row>
    <row r="48" spans="1:4">
      <c r="A48" s="177" t="s">
        <v>96</v>
      </c>
      <c r="B48" s="182" t="s">
        <v>97</v>
      </c>
      <c r="C48" s="177" t="s">
        <v>18</v>
      </c>
      <c r="D48" s="177" t="s">
        <v>19</v>
      </c>
    </row>
    <row r="49" spans="1:4">
      <c r="A49" s="177" t="s">
        <v>42</v>
      </c>
      <c r="B49" t="s">
        <v>98</v>
      </c>
      <c r="D49" s="185">
        <f>IF(G3=0,0,(Servente!G3*2*Servente!G5)-(6%*_1A))</f>
        <v>0</v>
      </c>
    </row>
    <row r="50" spans="1:4">
      <c r="A50" s="177" t="s">
        <v>45</v>
      </c>
      <c r="B50" t="s">
        <v>99</v>
      </c>
      <c r="D50" s="185">
        <f>(Servente!G4*Servente!G5)*80%</f>
        <v>211.2</v>
      </c>
    </row>
    <row r="51" spans="1:4">
      <c r="A51" s="177" t="s">
        <v>48</v>
      </c>
      <c r="B51" t="s">
        <v>100</v>
      </c>
      <c r="D51" s="185"/>
    </row>
    <row r="52" spans="1:4">
      <c r="A52" s="177" t="s">
        <v>50</v>
      </c>
      <c r="B52" t="s">
        <v>56</v>
      </c>
      <c r="D52" s="185"/>
    </row>
    <row r="53" spans="1:4">
      <c r="A53" s="177" t="s">
        <v>58</v>
      </c>
      <c r="D53" s="185">
        <v>211.2</v>
      </c>
    </row>
    <row r="54" spans="1:4">
      <c r="A54" s="177"/>
      <c r="D54" s="185"/>
    </row>
    <row r="55" spans="1:4">
      <c r="A55" s="303" t="s">
        <v>101</v>
      </c>
      <c r="B55" s="303"/>
      <c r="C55" s="303"/>
      <c r="D55" s="303"/>
    </row>
    <row r="56" spans="1:4">
      <c r="A56" s="303" t="s">
        <v>16</v>
      </c>
      <c r="B56" s="303" t="s">
        <v>70</v>
      </c>
      <c r="C56" s="303" t="s">
        <v>71</v>
      </c>
      <c r="D56" s="303" t="s">
        <v>72</v>
      </c>
    </row>
    <row r="57" ht="45" spans="1:4">
      <c r="A57" s="196" t="s">
        <v>42</v>
      </c>
      <c r="B57" s="305" t="s">
        <v>98</v>
      </c>
      <c r="C57" s="306" t="s">
        <v>102</v>
      </c>
      <c r="D57" s="306" t="s">
        <v>103</v>
      </c>
    </row>
    <row r="58" ht="30" spans="1:4">
      <c r="A58" s="196" t="s">
        <v>45</v>
      </c>
      <c r="B58" s="307" t="s">
        <v>99</v>
      </c>
      <c r="C58" s="306" t="s">
        <v>102</v>
      </c>
      <c r="D58" s="306" t="s">
        <v>104</v>
      </c>
    </row>
    <row r="59" ht="19.5" customHeight="1" spans="1:4">
      <c r="A59" s="177"/>
      <c r="D59" s="185"/>
    </row>
    <row r="60" spans="1:4">
      <c r="A60" s="176" t="s">
        <v>105</v>
      </c>
      <c r="B60" s="176"/>
      <c r="C60" s="176"/>
      <c r="D60" s="176"/>
    </row>
    <row r="61" spans="1:4">
      <c r="A61" s="177" t="s">
        <v>106</v>
      </c>
      <c r="B61" s="182" t="s">
        <v>107</v>
      </c>
      <c r="C61" s="177" t="s">
        <v>18</v>
      </c>
      <c r="D61" s="177" t="s">
        <v>19</v>
      </c>
    </row>
    <row r="62" spans="1:4">
      <c r="A62" s="177" t="s">
        <v>65</v>
      </c>
      <c r="B62" t="s">
        <v>66</v>
      </c>
      <c r="C62" s="177"/>
      <c r="D62" s="185">
        <f>Submódulo2.1[[#Totals],[Valor]]</f>
        <v>194.055555555556</v>
      </c>
    </row>
    <row r="63" spans="1:4">
      <c r="A63" s="177" t="s">
        <v>78</v>
      </c>
      <c r="B63" t="s">
        <v>79</v>
      </c>
      <c r="C63" s="177"/>
      <c r="D63" s="185">
        <f>Submódulo2.2[[#Totals],[Valor ]]</f>
        <v>438.676444444444</v>
      </c>
    </row>
    <row r="64" spans="1:4">
      <c r="A64" s="177" t="s">
        <v>96</v>
      </c>
      <c r="B64" t="s">
        <v>97</v>
      </c>
      <c r="C64" s="177"/>
      <c r="D64" s="185">
        <f>Submódulo2.3[[#Totals],[Valor]]</f>
        <v>211.2</v>
      </c>
    </row>
    <row r="65" spans="1:4">
      <c r="A65" s="177" t="s">
        <v>58</v>
      </c>
      <c r="C65" s="177"/>
      <c r="D65" s="185">
        <v>843.932</v>
      </c>
    </row>
    <row r="67" spans="1:4">
      <c r="A67" s="160" t="s">
        <v>108</v>
      </c>
      <c r="B67" s="160"/>
      <c r="C67" s="160"/>
      <c r="D67" s="160"/>
    </row>
    <row r="68" spans="1:4">
      <c r="A68" s="177" t="s">
        <v>109</v>
      </c>
      <c r="B68" s="182" t="s">
        <v>110</v>
      </c>
      <c r="C68" s="177" t="s">
        <v>18</v>
      </c>
      <c r="D68" s="177" t="s">
        <v>19</v>
      </c>
    </row>
    <row r="69" spans="1:4">
      <c r="A69" s="177" t="s">
        <v>42</v>
      </c>
      <c r="B69" t="s">
        <v>111</v>
      </c>
      <c r="D69" s="185">
        <f>((Módulo1[[#Totals],[Valor]]+D62+D64)/12)*Servente!G10</f>
        <v>50.715994537037</v>
      </c>
    </row>
    <row r="70" spans="1:4">
      <c r="A70" s="177" t="s">
        <v>45</v>
      </c>
      <c r="B70" t="s">
        <v>112</v>
      </c>
      <c r="D70" s="185">
        <f>(D40/12)*Servente!G10</f>
        <v>3.44662996296296</v>
      </c>
    </row>
    <row r="71" spans="1:4">
      <c r="A71" s="177" t="s">
        <v>48</v>
      </c>
      <c r="B71" t="s">
        <v>113</v>
      </c>
      <c r="D71" s="185">
        <f>D40*50%*Servente!G10</f>
        <v>20.6797797777778</v>
      </c>
    </row>
    <row r="72" spans="1:4">
      <c r="A72" s="177" t="s">
        <v>50</v>
      </c>
      <c r="B72" t="s">
        <v>114</v>
      </c>
      <c r="D72" s="185">
        <f>((Módulo1[[#Totals],[Valor]]+ResumoMódulo2[[#Totals],[Valor]])/12)*Servente!G11</f>
        <v>66.5704923666667</v>
      </c>
    </row>
    <row r="73" spans="1:4">
      <c r="A73" s="177" t="s">
        <v>53</v>
      </c>
      <c r="B73" t="s">
        <v>115</v>
      </c>
      <c r="D73" s="185">
        <f>D40*50%*Servente!G11</f>
        <v>20.6797797777778</v>
      </c>
    </row>
    <row r="74" spans="1:4">
      <c r="A74" s="177" t="s">
        <v>55</v>
      </c>
      <c r="B74" t="s">
        <v>116</v>
      </c>
      <c r="D74" s="185">
        <f>-D62*Servente!G12</f>
        <v>-4.23041111111111</v>
      </c>
    </row>
    <row r="75" spans="1:4">
      <c r="A75" s="177" t="s">
        <v>58</v>
      </c>
      <c r="D75" s="185">
        <f>SUBTOTAL(109,Módulo3[Valor])</f>
        <v>157.862265311111</v>
      </c>
    </row>
    <row r="76" spans="1:4">
      <c r="A76" s="177"/>
      <c r="D76" s="185"/>
    </row>
    <row r="77" spans="1:4">
      <c r="A77" s="303" t="s">
        <v>117</v>
      </c>
      <c r="B77" s="303"/>
      <c r="C77" s="303"/>
      <c r="D77" s="303"/>
    </row>
    <row r="78" spans="1:4">
      <c r="A78" s="303" t="s">
        <v>16</v>
      </c>
      <c r="B78" s="303" t="s">
        <v>70</v>
      </c>
      <c r="C78" s="303" t="s">
        <v>71</v>
      </c>
      <c r="D78" s="303" t="s">
        <v>72</v>
      </c>
    </row>
    <row r="79" ht="60" spans="1:4">
      <c r="A79" s="196" t="s">
        <v>42</v>
      </c>
      <c r="B79" s="305" t="s">
        <v>111</v>
      </c>
      <c r="C79" s="306" t="s">
        <v>118</v>
      </c>
      <c r="D79" s="306" t="s">
        <v>119</v>
      </c>
    </row>
    <row r="80" ht="60" spans="1:4">
      <c r="A80" s="196" t="s">
        <v>45</v>
      </c>
      <c r="B80" s="307" t="s">
        <v>112</v>
      </c>
      <c r="C80" s="306" t="s">
        <v>120</v>
      </c>
      <c r="D80" s="306" t="s">
        <v>119</v>
      </c>
    </row>
    <row r="81" ht="75" spans="1:4">
      <c r="A81" s="196" t="s">
        <v>48</v>
      </c>
      <c r="B81" s="307" t="s">
        <v>113</v>
      </c>
      <c r="C81" s="306" t="s">
        <v>120</v>
      </c>
      <c r="D81" s="308" t="s">
        <v>121</v>
      </c>
    </row>
    <row r="82" ht="60" spans="1:4">
      <c r="A82" s="196" t="s">
        <v>50</v>
      </c>
      <c r="B82" s="197" t="s">
        <v>114</v>
      </c>
      <c r="C82" s="306" t="s">
        <v>122</v>
      </c>
      <c r="D82" s="308" t="s">
        <v>123</v>
      </c>
    </row>
    <row r="83" ht="75" spans="1:4">
      <c r="A83" s="196" t="s">
        <v>53</v>
      </c>
      <c r="B83" s="197" t="s">
        <v>115</v>
      </c>
      <c r="C83" s="306" t="s">
        <v>120</v>
      </c>
      <c r="D83" s="308" t="s">
        <v>124</v>
      </c>
    </row>
    <row r="84" ht="60" spans="1:4">
      <c r="A84" s="196" t="s">
        <v>55</v>
      </c>
      <c r="B84" s="197" t="s">
        <v>116</v>
      </c>
      <c r="C84" s="306" t="s">
        <v>125</v>
      </c>
      <c r="D84" s="308" t="s">
        <v>126</v>
      </c>
    </row>
    <row r="86" customHeight="1" spans="1:4">
      <c r="A86" s="207" t="s">
        <v>127</v>
      </c>
      <c r="B86" s="207"/>
      <c r="C86" s="207"/>
      <c r="D86" s="207"/>
    </row>
    <row r="87" spans="1:4">
      <c r="A87" s="176" t="s">
        <v>128</v>
      </c>
      <c r="B87" s="176"/>
      <c r="C87" s="176"/>
      <c r="D87" s="176"/>
    </row>
    <row r="88" spans="1:4">
      <c r="A88" s="177" t="s">
        <v>129</v>
      </c>
      <c r="B88" s="182" t="s">
        <v>130</v>
      </c>
      <c r="C88" s="177" t="s">
        <v>131</v>
      </c>
      <c r="D88" s="177" t="s">
        <v>19</v>
      </c>
    </row>
    <row r="89" spans="1:4">
      <c r="A89" s="177" t="s">
        <v>42</v>
      </c>
      <c r="B89" t="s">
        <v>132</v>
      </c>
      <c r="C89" s="177">
        <v>20.71</v>
      </c>
      <c r="D89" s="185">
        <f>(((Módulo1[[#Totals],[Valor]]+ResumoMódulo2[[#Totals],[Valor]]+Módulo3[[#Totals],[Valor]])/30)*C89)/12</f>
        <v>115.043720096092</v>
      </c>
    </row>
    <row r="90" spans="1:4">
      <c r="A90" s="177" t="s">
        <v>45</v>
      </c>
      <c r="B90" t="s">
        <v>133</v>
      </c>
      <c r="C90" s="177">
        <v>1.4181</v>
      </c>
      <c r="D90" s="185">
        <f>(((Módulo1[[#Totals],[Valor]]+ResumoMódulo2[[#Totals],[Valor]]+Módulo3[[#Totals],[Valor]])/30)*C90)/12</f>
        <v>7.87752291010468</v>
      </c>
    </row>
    <row r="91" spans="1:4">
      <c r="A91" s="177" t="s">
        <v>48</v>
      </c>
      <c r="B91" t="s">
        <v>134</v>
      </c>
      <c r="C91" s="177">
        <v>0.1898</v>
      </c>
      <c r="D91" s="185">
        <f>(((Módulo1[[#Totals],[Valor]]+ResumoMódulo2[[#Totals],[Valor]]+Módulo3[[#Totals],[Valor]])/30)*C91)/12</f>
        <v>1.05433597654458</v>
      </c>
    </row>
    <row r="92" spans="1:4">
      <c r="A92" s="177" t="s">
        <v>50</v>
      </c>
      <c r="B92" t="s">
        <v>135</v>
      </c>
      <c r="C92" s="177">
        <v>0.9545</v>
      </c>
      <c r="D92" s="185">
        <f>(((Módulo1[[#Totals],[Valor]]+ResumoMódulo2[[#Totals],[Valor]]+Módulo3[[#Totals],[Valor]])/30)*C92)/12</f>
        <v>5.3022322951096</v>
      </c>
    </row>
    <row r="93" spans="1:4">
      <c r="A93" s="177" t="s">
        <v>53</v>
      </c>
      <c r="B93" t="s">
        <v>136</v>
      </c>
      <c r="C93" s="177">
        <v>2.4723</v>
      </c>
      <c r="D93" s="185">
        <f>(((Módulo1[[#Totals],[Valor]]+ResumoMódulo2[[#Totals],[Valor]]+Módulo3[[#Totals],[Valor]])/30)*C93)/12</f>
        <v>13.7335871170241</v>
      </c>
    </row>
    <row r="94" spans="1:4">
      <c r="A94" s="177" t="s">
        <v>55</v>
      </c>
      <c r="B94" t="s">
        <v>137</v>
      </c>
      <c r="C94" s="177">
        <v>3.4521</v>
      </c>
      <c r="D94" s="185">
        <f>(((Módulo1[[#Totals],[Valor]]+ResumoMódulo2[[#Totals],[Valor]]+Módulo3[[#Totals],[Valor]])/30)*C94)/12</f>
        <v>19.1763605091125</v>
      </c>
    </row>
    <row r="95" spans="1:4">
      <c r="A95" s="177" t="s">
        <v>58</v>
      </c>
      <c r="C95" s="177">
        <f>SUBTOTAL(109,Submódulo4.1[Dias de ausência])</f>
        <v>29.1968</v>
      </c>
      <c r="D95" s="185">
        <f>SUBTOTAL(109,Submódulo4.1[Valor])</f>
        <v>162.187758903987</v>
      </c>
    </row>
    <row r="96" spans="1:4">
      <c r="A96" s="177"/>
      <c r="C96" s="177"/>
      <c r="D96" s="185"/>
    </row>
    <row r="97" spans="1:4">
      <c r="A97" s="303" t="s">
        <v>138</v>
      </c>
      <c r="B97" s="303"/>
      <c r="C97" s="303"/>
      <c r="D97" s="303"/>
    </row>
    <row r="98" spans="1:4">
      <c r="A98" s="303" t="s">
        <v>16</v>
      </c>
      <c r="B98" s="303" t="s">
        <v>70</v>
      </c>
      <c r="C98" s="303" t="s">
        <v>71</v>
      </c>
      <c r="D98" s="303" t="s">
        <v>72</v>
      </c>
    </row>
    <row r="99" spans="1:4">
      <c r="A99" s="196" t="s">
        <v>139</v>
      </c>
      <c r="B99" s="305" t="s">
        <v>140</v>
      </c>
      <c r="C99" s="306"/>
      <c r="D99" s="306"/>
    </row>
    <row r="100" ht="45" spans="1:4">
      <c r="A100" s="196" t="s">
        <v>139</v>
      </c>
      <c r="B100" s="307" t="s">
        <v>141</v>
      </c>
      <c r="C100" s="306" t="s">
        <v>142</v>
      </c>
      <c r="D100" s="306" t="s">
        <v>143</v>
      </c>
    </row>
    <row r="101" spans="1:4">
      <c r="A101" s="177"/>
      <c r="C101" s="177"/>
      <c r="D101" s="185"/>
    </row>
    <row r="102" spans="1:4">
      <c r="A102" s="176" t="s">
        <v>144</v>
      </c>
      <c r="B102" s="176"/>
      <c r="C102" s="176"/>
      <c r="D102" s="176"/>
    </row>
    <row r="103" spans="1:4">
      <c r="A103" s="177" t="s">
        <v>145</v>
      </c>
      <c r="B103" s="182" t="s">
        <v>146</v>
      </c>
      <c r="C103" s="177" t="s">
        <v>18</v>
      </c>
      <c r="D103" s="177" t="s">
        <v>19</v>
      </c>
    </row>
    <row r="104" spans="1:4">
      <c r="A104" s="177" t="s">
        <v>42</v>
      </c>
      <c r="B104" t="s">
        <v>147</v>
      </c>
      <c r="C104" s="177"/>
      <c r="D104" s="185"/>
    </row>
    <row r="105" spans="1:4">
      <c r="A105" s="177" t="s">
        <v>58</v>
      </c>
      <c r="C105" s="177"/>
      <c r="D105" s="185">
        <f>SUBTOTAL(109,Submódulo4.2[Valor])</f>
        <v>0</v>
      </c>
    </row>
    <row r="107" spans="1:4">
      <c r="A107" s="176" t="s">
        <v>148</v>
      </c>
      <c r="B107" s="176"/>
      <c r="C107" s="176"/>
      <c r="D107" s="176"/>
    </row>
    <row r="108" spans="1:4">
      <c r="A108" s="177" t="s">
        <v>149</v>
      </c>
      <c r="B108" s="182" t="s">
        <v>150</v>
      </c>
      <c r="C108" s="177" t="s">
        <v>18</v>
      </c>
      <c r="D108" s="177" t="s">
        <v>19</v>
      </c>
    </row>
    <row r="109" spans="1:4">
      <c r="A109" s="177" t="s">
        <v>129</v>
      </c>
      <c r="B109" t="s">
        <v>130</v>
      </c>
      <c r="D109" s="185">
        <f>Submódulo4.1[[#Totals],[Valor]]</f>
        <v>162.187758903987</v>
      </c>
    </row>
    <row r="110" spans="1:4">
      <c r="A110" s="177" t="s">
        <v>145</v>
      </c>
      <c r="B110" t="s">
        <v>151</v>
      </c>
      <c r="D110" s="185">
        <f>Submódulo4.2[[#Totals],[Valor]]</f>
        <v>0</v>
      </c>
    </row>
    <row r="111" spans="1:4">
      <c r="A111" s="177" t="s">
        <v>58</v>
      </c>
      <c r="D111" s="185">
        <f>SUBTOTAL(109,ResumoMódulo4[Valor])</f>
        <v>162.187758903987</v>
      </c>
    </row>
    <row r="113" spans="1:4">
      <c r="A113" s="160" t="s">
        <v>152</v>
      </c>
      <c r="B113" s="160"/>
      <c r="C113" s="160"/>
      <c r="D113" s="160"/>
    </row>
    <row r="114" spans="1:4">
      <c r="A114" s="177" t="s">
        <v>153</v>
      </c>
      <c r="B114" s="182" t="s">
        <v>154</v>
      </c>
      <c r="C114" s="177" t="s">
        <v>18</v>
      </c>
      <c r="D114" s="177" t="s">
        <v>19</v>
      </c>
    </row>
    <row r="115" spans="1:4">
      <c r="A115" s="177" t="s">
        <v>42</v>
      </c>
      <c r="B115" t="s">
        <v>155</v>
      </c>
      <c r="D115" s="185" t="e">
        <f>#REF!</f>
        <v>#REF!</v>
      </c>
    </row>
    <row r="116" spans="1:4">
      <c r="A116" s="177" t="s">
        <v>45</v>
      </c>
      <c r="B116" t="s">
        <v>156</v>
      </c>
      <c r="D116" s="185" t="e">
        <f>#REF!/#REF!</f>
        <v>#REF!</v>
      </c>
    </row>
    <row r="117" spans="1:4">
      <c r="A117" s="177" t="s">
        <v>48</v>
      </c>
      <c r="B117" t="s">
        <v>157</v>
      </c>
      <c r="D117" s="185" t="e">
        <f>#REF!/#REF!</f>
        <v>#REF!</v>
      </c>
    </row>
    <row r="118" spans="1:4">
      <c r="A118" s="177" t="s">
        <v>50</v>
      </c>
      <c r="B118" t="s">
        <v>158</v>
      </c>
      <c r="D118" s="185"/>
    </row>
    <row r="119" spans="1:4">
      <c r="A119" s="177" t="s">
        <v>58</v>
      </c>
      <c r="D119" s="185" t="e">
        <f>SUBTOTAL(109,Módulo5[Valor])</f>
        <v>#REF!</v>
      </c>
    </row>
    <row r="120" spans="1:4">
      <c r="A120" s="177"/>
      <c r="D120" s="185"/>
    </row>
    <row r="121" spans="1:4">
      <c r="A121" s="303" t="s">
        <v>159</v>
      </c>
      <c r="B121" s="303"/>
      <c r="C121" s="303"/>
      <c r="D121" s="303"/>
    </row>
    <row r="122" spans="1:4">
      <c r="A122" s="303" t="s">
        <v>16</v>
      </c>
      <c r="B122" s="303" t="s">
        <v>70</v>
      </c>
      <c r="C122" s="303" t="s">
        <v>71</v>
      </c>
      <c r="D122" s="303" t="s">
        <v>72</v>
      </c>
    </row>
    <row r="123" spans="1:4">
      <c r="A123" s="196" t="s">
        <v>42</v>
      </c>
      <c r="B123" s="305" t="s">
        <v>155</v>
      </c>
      <c r="C123" s="306" t="s">
        <v>160</v>
      </c>
      <c r="D123" s="306"/>
    </row>
    <row r="124" ht="30" spans="1:4">
      <c r="A124" s="196" t="s">
        <v>45</v>
      </c>
      <c r="B124" s="307" t="s">
        <v>156</v>
      </c>
      <c r="C124" s="306" t="s">
        <v>161</v>
      </c>
      <c r="D124" s="306" t="s">
        <v>162</v>
      </c>
    </row>
    <row r="125" ht="30" spans="1:4">
      <c r="A125" s="196" t="s">
        <v>48</v>
      </c>
      <c r="B125" s="307" t="s">
        <v>157</v>
      </c>
      <c r="C125" s="306" t="s">
        <v>163</v>
      </c>
      <c r="D125" s="306" t="s">
        <v>162</v>
      </c>
    </row>
    <row r="126" spans="1:4">
      <c r="A126" s="196" t="s">
        <v>50</v>
      </c>
      <c r="B126" s="307" t="s">
        <v>158</v>
      </c>
      <c r="C126" s="306"/>
      <c r="D126" s="306"/>
    </row>
    <row r="128" spans="1:4">
      <c r="A128" s="160" t="s">
        <v>164</v>
      </c>
      <c r="B128" s="160"/>
      <c r="C128" s="160"/>
      <c r="D128" s="160"/>
    </row>
    <row r="129" outlineLevel="1" spans="1:4">
      <c r="A129" s="177" t="s">
        <v>165</v>
      </c>
      <c r="B129" t="s">
        <v>166</v>
      </c>
      <c r="C129" s="177" t="s">
        <v>38</v>
      </c>
      <c r="D129" s="177" t="s">
        <v>19</v>
      </c>
    </row>
    <row r="130" outlineLevel="1" spans="1:4">
      <c r="A130" s="177" t="s">
        <v>42</v>
      </c>
      <c r="B130" t="s">
        <v>167</v>
      </c>
      <c r="C130" s="187">
        <f>G16</f>
        <v>0.0471</v>
      </c>
      <c r="D130" s="185" t="e">
        <f>Módulo6[[#This Row],[Percentual]]*(D141+D142+D143+D144+D145)</f>
        <v>#REF!</v>
      </c>
    </row>
    <row r="131" outlineLevel="1" spans="1:4">
      <c r="A131" s="177" t="s">
        <v>45</v>
      </c>
      <c r="B131" t="s">
        <v>59</v>
      </c>
      <c r="C131" s="187">
        <f>G17</f>
        <v>0.0467</v>
      </c>
      <c r="D131" s="185" t="e">
        <f>(SUM(D141:D145)+D130)*Módulo6[[#This Row],[Percentual]]</f>
        <v>#REF!</v>
      </c>
    </row>
    <row r="132" spans="1:4">
      <c r="A132" s="177" t="s">
        <v>48</v>
      </c>
      <c r="B132" t="s">
        <v>168</v>
      </c>
      <c r="C132" s="187">
        <f>SUM(C133:C135)</f>
        <v>0.1425</v>
      </c>
      <c r="D132" s="185" t="e">
        <f>Módulo6[[#This Row],[Percentual]]*D148</f>
        <v>#REF!</v>
      </c>
    </row>
    <row r="133" spans="1:4">
      <c r="A133" s="177" t="s">
        <v>169</v>
      </c>
      <c r="B133" t="s">
        <v>60</v>
      </c>
      <c r="C133" s="187">
        <f>G18</f>
        <v>0.0165</v>
      </c>
      <c r="D133" s="185" t="e">
        <f>Módulo6[[#This Row],[Percentual]]*D148</f>
        <v>#REF!</v>
      </c>
    </row>
    <row r="134" spans="1:4">
      <c r="A134" s="177" t="s">
        <v>170</v>
      </c>
      <c r="B134" t="s">
        <v>62</v>
      </c>
      <c r="C134" s="187">
        <f>G19</f>
        <v>0.076</v>
      </c>
      <c r="D134" s="185" t="e">
        <f>Módulo6[[#This Row],[Percentual]]*D148</f>
        <v>#REF!</v>
      </c>
    </row>
    <row r="135" spans="1:4">
      <c r="A135" s="177" t="s">
        <v>171</v>
      </c>
      <c r="B135" t="s">
        <v>64</v>
      </c>
      <c r="C135" s="187">
        <f>G20</f>
        <v>0.05</v>
      </c>
      <c r="D135" s="185" t="e">
        <f>Módulo6[[#This Row],[Percentual]]*D148</f>
        <v>#REF!</v>
      </c>
    </row>
    <row r="136" spans="1:4">
      <c r="A136" s="177" t="s">
        <v>58</v>
      </c>
      <c r="C136" s="223"/>
      <c r="D136" s="185" t="e">
        <f>SUM(D130:D132)</f>
        <v>#REF!</v>
      </c>
    </row>
    <row r="137" spans="1:4">
      <c r="A137" s="177"/>
      <c r="C137" s="223"/>
      <c r="D137" s="185"/>
    </row>
    <row r="139" spans="1:4">
      <c r="A139" s="160" t="s">
        <v>172</v>
      </c>
      <c r="B139" s="160"/>
      <c r="C139" s="160"/>
      <c r="D139" s="160"/>
    </row>
    <row r="140" spans="1:4">
      <c r="A140" s="177" t="s">
        <v>16</v>
      </c>
      <c r="B140" s="177" t="s">
        <v>173</v>
      </c>
      <c r="C140" s="177" t="s">
        <v>102</v>
      </c>
      <c r="D140" s="177" t="s">
        <v>19</v>
      </c>
    </row>
    <row r="141" spans="1:4">
      <c r="A141" s="177" t="s">
        <v>42</v>
      </c>
      <c r="B141" t="s">
        <v>36</v>
      </c>
      <c r="D141" s="185">
        <f>Módulo1[[#Totals],[Valor]]</f>
        <v>998</v>
      </c>
    </row>
    <row r="142" spans="1:4">
      <c r="A142" s="177" t="s">
        <v>45</v>
      </c>
      <c r="B142" t="s">
        <v>61</v>
      </c>
      <c r="D142" s="185">
        <f>ResumoMódulo2[[#Totals],[Valor]]</f>
        <v>843.932</v>
      </c>
    </row>
    <row r="143" spans="1:4">
      <c r="A143" s="177" t="s">
        <v>48</v>
      </c>
      <c r="B143" t="s">
        <v>108</v>
      </c>
      <c r="D143" s="185">
        <f>Módulo3[[#Totals],[Valor]]</f>
        <v>157.862265311111</v>
      </c>
    </row>
    <row r="144" spans="1:4">
      <c r="A144" s="177" t="s">
        <v>50</v>
      </c>
      <c r="B144" t="s">
        <v>174</v>
      </c>
      <c r="D144" s="185">
        <f>ResumoMódulo4[[#Totals],[Valor]]</f>
        <v>162.187758903987</v>
      </c>
    </row>
    <row r="145" spans="1:4">
      <c r="A145" s="177" t="s">
        <v>53</v>
      </c>
      <c r="B145" t="s">
        <v>152</v>
      </c>
      <c r="D145" s="185" t="e">
        <f>Módulo5[[#Totals],[Valor]]</f>
        <v>#REF!</v>
      </c>
    </row>
    <row r="146" spans="1:4">
      <c r="A146" t="s">
        <v>175</v>
      </c>
      <c r="D146" s="185" t="e">
        <f>SUM(D141:D145)</f>
        <v>#REF!</v>
      </c>
    </row>
    <row r="147" spans="1:4">
      <c r="A147" s="177" t="s">
        <v>55</v>
      </c>
      <c r="B147" t="s">
        <v>164</v>
      </c>
      <c r="D147" s="185" t="e">
        <f>Módulo6[[#Totals],[Valor]]</f>
        <v>#REF!</v>
      </c>
    </row>
    <row r="148" spans="1:4">
      <c r="A148" s="225" t="s">
        <v>176</v>
      </c>
      <c r="B148" s="225"/>
      <c r="C148" s="225"/>
      <c r="D148" s="30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abSelected="1" topLeftCell="A125" workbookViewId="0">
      <selection activeCell="D156" sqref="D156"/>
    </sheetView>
  </sheetViews>
  <sheetFormatPr defaultColWidth="9.14285714285714" defaultRowHeight="15" outlineLevelCol="6"/>
  <cols>
    <col min="1" max="1" width="11" customWidth="1"/>
    <col min="2" max="2" width="50.4285714285714" customWidth="1"/>
    <col min="3" max="3" width="28.2857142857143" customWidth="1"/>
    <col min="4" max="4" width="32.1428571428571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53" t="s">
        <v>177</v>
      </c>
      <c r="B2" s="153"/>
      <c r="C2" s="153"/>
      <c r="D2" s="153"/>
    </row>
    <row r="3" ht="15.75" spans="1:4">
      <c r="A3" s="154" t="s">
        <v>178</v>
      </c>
      <c r="B3" s="154"/>
      <c r="C3" s="154"/>
      <c r="D3" s="154"/>
    </row>
    <row r="4" spans="1:4">
      <c r="A4" s="155" t="s">
        <v>179</v>
      </c>
      <c r="B4" s="156" t="s">
        <v>180</v>
      </c>
      <c r="C4" s="157"/>
      <c r="D4" s="157"/>
    </row>
    <row r="5" spans="1:4">
      <c r="A5" s="158"/>
      <c r="B5" s="159"/>
      <c r="C5" s="159"/>
      <c r="D5" s="159"/>
    </row>
    <row r="6" ht="15.75" spans="1:4">
      <c r="A6" s="160" t="s">
        <v>181</v>
      </c>
      <c r="B6" s="160"/>
      <c r="C6" s="160"/>
      <c r="D6" s="160"/>
    </row>
    <row r="7" ht="15.75" spans="1:4">
      <c r="A7" s="161" t="s">
        <v>42</v>
      </c>
      <c r="B7" s="162" t="s">
        <v>182</v>
      </c>
      <c r="C7" s="163" t="s">
        <v>183</v>
      </c>
      <c r="D7" s="163"/>
    </row>
    <row r="8" spans="1:4">
      <c r="A8" s="164" t="s">
        <v>45</v>
      </c>
      <c r="B8" s="165" t="s">
        <v>184</v>
      </c>
      <c r="C8" s="166" t="s">
        <v>185</v>
      </c>
      <c r="D8" s="166"/>
    </row>
    <row r="9" spans="1:4">
      <c r="A9" s="167" t="s">
        <v>48</v>
      </c>
      <c r="B9" s="168" t="s">
        <v>186</v>
      </c>
      <c r="C9" s="166" t="s">
        <v>187</v>
      </c>
      <c r="D9" s="166"/>
    </row>
    <row r="10" spans="1:4">
      <c r="A10" s="164" t="s">
        <v>53</v>
      </c>
      <c r="B10" s="165" t="s">
        <v>188</v>
      </c>
      <c r="C10" s="166" t="s">
        <v>189</v>
      </c>
      <c r="D10" s="166"/>
    </row>
    <row r="11" ht="15.75" spans="1:4">
      <c r="A11" s="169" t="s">
        <v>190</v>
      </c>
      <c r="B11" s="169"/>
      <c r="C11" s="169"/>
      <c r="D11" s="169"/>
    </row>
    <row r="12" ht="16.5" spans="1:4">
      <c r="A12" s="170" t="s">
        <v>191</v>
      </c>
      <c r="B12" s="170"/>
      <c r="C12" s="169" t="s">
        <v>192</v>
      </c>
      <c r="D12" s="171" t="s">
        <v>193</v>
      </c>
    </row>
    <row r="13" ht="15.75" spans="1:4">
      <c r="A13" s="172" t="s">
        <v>194</v>
      </c>
      <c r="B13" s="172"/>
      <c r="C13" s="166" t="s">
        <v>195</v>
      </c>
      <c r="D13" s="173">
        <f>RESUMO!D5</f>
        <v>1</v>
      </c>
    </row>
    <row r="14" spans="1:4">
      <c r="A14" s="174"/>
      <c r="B14" s="174"/>
      <c r="C14" s="166"/>
      <c r="D14" s="175"/>
    </row>
    <row r="15" ht="15.75" spans="1:7">
      <c r="A15" s="169" t="s">
        <v>14</v>
      </c>
      <c r="B15" s="169"/>
      <c r="C15" s="169"/>
      <c r="D15" s="169"/>
      <c r="F15" s="176"/>
      <c r="G15" s="176"/>
    </row>
    <row r="16" ht="15.75" spans="1:4">
      <c r="A16" s="177" t="s">
        <v>16</v>
      </c>
      <c r="B16" t="s">
        <v>17</v>
      </c>
      <c r="C16" s="177" t="s">
        <v>18</v>
      </c>
      <c r="D16" s="177" t="s">
        <v>19</v>
      </c>
    </row>
    <row r="17" spans="1:6">
      <c r="A17" s="177">
        <v>1</v>
      </c>
      <c r="B17" t="s">
        <v>20</v>
      </c>
      <c r="C17" s="178" t="s">
        <v>102</v>
      </c>
      <c r="D17" s="178" t="str">
        <f>A13</f>
        <v>Agente de Portaria</v>
      </c>
      <c r="F17" s="292"/>
    </row>
    <row r="18" spans="1:4">
      <c r="A18" s="177">
        <v>2</v>
      </c>
      <c r="B18" t="s">
        <v>23</v>
      </c>
      <c r="C18" s="178" t="s">
        <v>196</v>
      </c>
      <c r="D18" s="178" t="s">
        <v>197</v>
      </c>
    </row>
    <row r="19" spans="1:4">
      <c r="A19" s="177">
        <v>3</v>
      </c>
      <c r="B19" t="s">
        <v>26</v>
      </c>
      <c r="C19" s="178" t="str">
        <f>C9</f>
        <v>CCT PB000047/2021</v>
      </c>
      <c r="D19" s="179">
        <v>1124</v>
      </c>
    </row>
    <row r="20" spans="1:4">
      <c r="A20" s="177">
        <v>4</v>
      </c>
      <c r="B20" t="s">
        <v>29</v>
      </c>
      <c r="C20" s="178" t="str">
        <f>C9</f>
        <v>CCT PB000047/2021</v>
      </c>
      <c r="D20" s="180" t="s">
        <v>198</v>
      </c>
    </row>
    <row r="21" spans="1:4">
      <c r="A21" s="177">
        <v>5</v>
      </c>
      <c r="B21" t="s">
        <v>33</v>
      </c>
      <c r="C21" s="178" t="str">
        <f>C9</f>
        <v>CCT PB000047/2021</v>
      </c>
      <c r="D21" s="181" t="s">
        <v>199</v>
      </c>
    </row>
    <row r="22" spans="6:7">
      <c r="F22" s="176"/>
      <c r="G22" s="176"/>
    </row>
    <row r="23" spans="1:4">
      <c r="A23" s="160" t="s">
        <v>36</v>
      </c>
      <c r="B23" s="160"/>
      <c r="C23" s="160"/>
      <c r="D23" s="160"/>
    </row>
    <row r="24" spans="1:7">
      <c r="A24" s="177" t="s">
        <v>39</v>
      </c>
      <c r="B24" s="182" t="s">
        <v>40</v>
      </c>
      <c r="C24" s="177" t="s">
        <v>18</v>
      </c>
      <c r="D24" s="177" t="s">
        <v>19</v>
      </c>
      <c r="G24" s="183"/>
    </row>
    <row r="25" spans="1:7">
      <c r="A25" s="177" t="s">
        <v>42</v>
      </c>
      <c r="B25" t="s">
        <v>43</v>
      </c>
      <c r="C25" s="180" t="s">
        <v>200</v>
      </c>
      <c r="D25" s="179">
        <f>D19</f>
        <v>1124</v>
      </c>
      <c r="G25" s="183"/>
    </row>
    <row r="26" spans="1:7">
      <c r="A26" s="177" t="s">
        <v>45</v>
      </c>
      <c r="B26" t="s">
        <v>46</v>
      </c>
      <c r="C26" s="180"/>
      <c r="D26" s="179">
        <v>0</v>
      </c>
      <c r="G26" s="183"/>
    </row>
    <row r="27" spans="1:4">
      <c r="A27" s="177" t="s">
        <v>48</v>
      </c>
      <c r="B27" t="s">
        <v>49</v>
      </c>
      <c r="C27" s="180"/>
      <c r="D27" s="179">
        <v>0</v>
      </c>
    </row>
    <row r="28" spans="1:4">
      <c r="A28" s="177" t="s">
        <v>50</v>
      </c>
      <c r="B28" t="s">
        <v>51</v>
      </c>
      <c r="C28" s="180"/>
      <c r="D28" s="179">
        <v>0</v>
      </c>
    </row>
    <row r="29" spans="1:4">
      <c r="A29" s="177" t="s">
        <v>53</v>
      </c>
      <c r="B29" t="s">
        <v>54</v>
      </c>
      <c r="C29" s="180"/>
      <c r="D29" s="179">
        <v>0</v>
      </c>
    </row>
    <row r="30" spans="1:4">
      <c r="A30" s="177" t="s">
        <v>55</v>
      </c>
      <c r="B30" t="s">
        <v>56</v>
      </c>
      <c r="C30" s="180"/>
      <c r="D30" s="179">
        <v>0</v>
      </c>
    </row>
    <row r="31" spans="1:7">
      <c r="A31" s="177" t="s">
        <v>58</v>
      </c>
      <c r="C31" s="177"/>
      <c r="D31" s="185">
        <f>TRUNC((SUM(D25:D30)),2)</f>
        <v>1124</v>
      </c>
      <c r="F31" s="176"/>
      <c r="G31" s="176"/>
    </row>
    <row r="33" spans="1:7">
      <c r="A33" s="186" t="s">
        <v>61</v>
      </c>
      <c r="B33" s="186"/>
      <c r="C33" s="186"/>
      <c r="D33" s="186"/>
      <c r="G33" s="183"/>
    </row>
    <row r="35" spans="1:4">
      <c r="A35" s="176" t="s">
        <v>63</v>
      </c>
      <c r="B35" s="176"/>
      <c r="C35" s="176"/>
      <c r="D35" s="176"/>
    </row>
    <row r="36" spans="1:4">
      <c r="A36" s="177" t="s">
        <v>65</v>
      </c>
      <c r="B36" s="182" t="s">
        <v>66</v>
      </c>
      <c r="C36" s="177" t="s">
        <v>38</v>
      </c>
      <c r="D36" s="177" t="s">
        <v>19</v>
      </c>
    </row>
    <row r="37" spans="1:7">
      <c r="A37" s="177" t="s">
        <v>42</v>
      </c>
      <c r="B37" t="s">
        <v>67</v>
      </c>
      <c r="C37" s="187">
        <f>(1/12)</f>
        <v>0.0833333333333333</v>
      </c>
      <c r="D37" s="185">
        <f>TRUNC($D$31*C37,2)</f>
        <v>93.66</v>
      </c>
      <c r="F37" s="188"/>
      <c r="G37" s="188"/>
    </row>
    <row r="38" spans="1:7">
      <c r="A38" s="177" t="s">
        <v>45</v>
      </c>
      <c r="B38" t="s">
        <v>68</v>
      </c>
      <c r="C38" s="187">
        <f>(((1+1/3)/12))</f>
        <v>0.111111111111111</v>
      </c>
      <c r="D38" s="185">
        <f>TRUNC($D$31*C38,2)</f>
        <v>124.88</v>
      </c>
      <c r="F38" s="188"/>
      <c r="G38" s="188"/>
    </row>
    <row r="39" spans="1:7">
      <c r="A39" s="177" t="s">
        <v>58</v>
      </c>
      <c r="D39" s="185">
        <f>TRUNC((SUM(D37:D38)),2)</f>
        <v>218.54</v>
      </c>
      <c r="F39" s="188"/>
      <c r="G39" s="188"/>
    </row>
    <row r="40" ht="15.75" spans="4:7">
      <c r="D40" s="185"/>
      <c r="F40" s="188"/>
      <c r="G40" s="188"/>
    </row>
    <row r="41" ht="16.5" spans="1:7">
      <c r="A41" s="189" t="s">
        <v>201</v>
      </c>
      <c r="B41" s="189"/>
      <c r="C41" s="190" t="s">
        <v>202</v>
      </c>
      <c r="D41" s="191">
        <f>D31</f>
        <v>1124</v>
      </c>
      <c r="F41" s="188"/>
      <c r="G41" s="188"/>
    </row>
    <row r="42" ht="16.5" spans="1:7">
      <c r="A42" s="189"/>
      <c r="B42" s="189"/>
      <c r="C42" s="192" t="s">
        <v>203</v>
      </c>
      <c r="D42" s="191">
        <f>D39</f>
        <v>218.54</v>
      </c>
      <c r="F42" s="188"/>
      <c r="G42" s="188"/>
    </row>
    <row r="43" ht="16.5" spans="1:7">
      <c r="A43" s="189"/>
      <c r="B43" s="189"/>
      <c r="C43" s="190" t="s">
        <v>204</v>
      </c>
      <c r="D43" s="193">
        <f>TRUNC(SUM(D41:D42),2)</f>
        <v>1342.54</v>
      </c>
      <c r="F43" s="188"/>
      <c r="G43" s="188"/>
    </row>
    <row r="44" ht="15.75" spans="1:7">
      <c r="A44" s="177"/>
      <c r="C44" s="194"/>
      <c r="D44" s="185"/>
      <c r="F44" s="188"/>
      <c r="G44" s="188"/>
    </row>
    <row r="45" spans="1:4">
      <c r="A45" s="176" t="s">
        <v>77</v>
      </c>
      <c r="B45" s="176"/>
      <c r="C45" s="176"/>
      <c r="D45" s="176"/>
    </row>
    <row r="46" spans="1:4">
      <c r="A46" s="177" t="s">
        <v>78</v>
      </c>
      <c r="B46" s="182" t="s">
        <v>79</v>
      </c>
      <c r="C46" s="177" t="s">
        <v>38</v>
      </c>
      <c r="D46" s="177" t="s">
        <v>80</v>
      </c>
    </row>
    <row r="47" spans="1:4">
      <c r="A47" s="177" t="s">
        <v>42</v>
      </c>
      <c r="B47" t="s">
        <v>81</v>
      </c>
      <c r="C47" s="187">
        <v>0.2</v>
      </c>
      <c r="D47" s="202">
        <f t="shared" ref="D47:D54" si="0">TRUNC(($D$43*C47),2)</f>
        <v>268.5</v>
      </c>
    </row>
    <row r="48" spans="1:4">
      <c r="A48" s="177" t="s">
        <v>45</v>
      </c>
      <c r="B48" t="s">
        <v>82</v>
      </c>
      <c r="C48" s="187">
        <v>0.025</v>
      </c>
      <c r="D48" s="202">
        <f t="shared" si="0"/>
        <v>33.56</v>
      </c>
    </row>
    <row r="49" spans="1:4">
      <c r="A49" s="177" t="s">
        <v>48</v>
      </c>
      <c r="B49" t="s">
        <v>205</v>
      </c>
      <c r="C49" s="195">
        <v>0.06</v>
      </c>
      <c r="D49" s="202">
        <f t="shared" si="0"/>
        <v>80.55</v>
      </c>
    </row>
    <row r="50" spans="1:4">
      <c r="A50" s="177" t="s">
        <v>50</v>
      </c>
      <c r="B50" t="s">
        <v>84</v>
      </c>
      <c r="C50" s="187">
        <v>0.015</v>
      </c>
      <c r="D50" s="202">
        <f t="shared" si="0"/>
        <v>20.13</v>
      </c>
    </row>
    <row r="51" spans="1:4">
      <c r="A51" s="177" t="s">
        <v>53</v>
      </c>
      <c r="B51" t="s">
        <v>85</v>
      </c>
      <c r="C51" s="187">
        <v>0.01</v>
      </c>
      <c r="D51" s="202">
        <f t="shared" si="0"/>
        <v>13.42</v>
      </c>
    </row>
    <row r="52" spans="1:4">
      <c r="A52" s="177" t="s">
        <v>55</v>
      </c>
      <c r="B52" t="s">
        <v>86</v>
      </c>
      <c r="C52" s="187">
        <v>0.006</v>
      </c>
      <c r="D52" s="202">
        <f t="shared" si="0"/>
        <v>8.05</v>
      </c>
    </row>
    <row r="53" spans="1:4">
      <c r="A53" s="177" t="s">
        <v>87</v>
      </c>
      <c r="B53" t="s">
        <v>88</v>
      </c>
      <c r="C53" s="187">
        <v>0.002</v>
      </c>
      <c r="D53" s="202">
        <f t="shared" si="0"/>
        <v>2.68</v>
      </c>
    </row>
    <row r="54" spans="1:4">
      <c r="A54" s="177" t="s">
        <v>89</v>
      </c>
      <c r="B54" t="s">
        <v>90</v>
      </c>
      <c r="C54" s="187">
        <v>0.08</v>
      </c>
      <c r="D54" s="202">
        <f t="shared" si="0"/>
        <v>107.4</v>
      </c>
    </row>
    <row r="55" spans="1:4">
      <c r="A55" s="177" t="s">
        <v>58</v>
      </c>
      <c r="C55" s="194">
        <f>SUM(C47:C54)</f>
        <v>0.398</v>
      </c>
      <c r="D55" s="185">
        <f>TRUNC((SUM(D47:D54)),2)</f>
        <v>534.29</v>
      </c>
    </row>
    <row r="56" spans="1:4">
      <c r="A56" s="177"/>
      <c r="C56" s="194"/>
      <c r="D56" s="185"/>
    </row>
    <row r="57" spans="1:4">
      <c r="A57" s="176" t="s">
        <v>95</v>
      </c>
      <c r="B57" s="176"/>
      <c r="C57" s="176"/>
      <c r="D57" s="176"/>
    </row>
    <row r="58" spans="1:4">
      <c r="A58" s="177" t="s">
        <v>96</v>
      </c>
      <c r="B58" s="182" t="s">
        <v>97</v>
      </c>
      <c r="C58" s="177" t="s">
        <v>18</v>
      </c>
      <c r="D58" s="177" t="s">
        <v>19</v>
      </c>
    </row>
    <row r="59" spans="1:4">
      <c r="A59" s="177" t="s">
        <v>42</v>
      </c>
      <c r="B59" t="s">
        <v>98</v>
      </c>
      <c r="C59" s="178"/>
      <c r="D59" s="184">
        <v>0</v>
      </c>
    </row>
    <row r="60" spans="1:4">
      <c r="A60" s="177" t="s">
        <v>45</v>
      </c>
      <c r="B60" t="s">
        <v>99</v>
      </c>
      <c r="C60" s="178" t="str">
        <f>C9</f>
        <v>CCT PB000047/2021</v>
      </c>
      <c r="D60" s="179">
        <f>TRUNC((((22*18))-(((22*18))*0.2)),2)</f>
        <v>316.8</v>
      </c>
    </row>
    <row r="61" spans="1:4">
      <c r="A61" s="177" t="s">
        <v>48</v>
      </c>
      <c r="B61" t="s">
        <v>100</v>
      </c>
      <c r="C61" s="178"/>
      <c r="D61" s="179">
        <v>0</v>
      </c>
    </row>
    <row r="62" spans="1:6">
      <c r="A62" s="196" t="s">
        <v>50</v>
      </c>
      <c r="B62" s="197" t="s">
        <v>206</v>
      </c>
      <c r="C62" s="198"/>
      <c r="D62" s="198">
        <f>TRUNC(((((($D$25+$D$26+$D$28+$D$29)/220)*1.5)*(365/12))/2),2)</f>
        <v>116.55</v>
      </c>
      <c r="F62" s="197"/>
    </row>
    <row r="63" spans="1:4">
      <c r="A63" s="177" t="s">
        <v>53</v>
      </c>
      <c r="B63" s="182" t="s">
        <v>207</v>
      </c>
      <c r="C63" s="178" t="str">
        <f>C60</f>
        <v>CCT PB000047/2021</v>
      </c>
      <c r="D63" s="179">
        <v>15</v>
      </c>
    </row>
    <row r="64" spans="1:4">
      <c r="A64" s="177" t="s">
        <v>55</v>
      </c>
      <c r="B64" s="199" t="s">
        <v>208</v>
      </c>
      <c r="C64" s="198" t="str">
        <f>C60</f>
        <v>CCT PB000047/2021</v>
      </c>
      <c r="D64" s="179">
        <v>5</v>
      </c>
    </row>
    <row r="65" spans="1:4">
      <c r="A65" s="177" t="s">
        <v>58</v>
      </c>
      <c r="D65" s="185">
        <f>TRUNC((SUM(D59:D64)),2)</f>
        <v>453.35</v>
      </c>
    </row>
    <row r="66" spans="1:4">
      <c r="A66" s="177"/>
      <c r="D66" s="185"/>
    </row>
    <row r="67" spans="1:4">
      <c r="A67" s="176" t="s">
        <v>105</v>
      </c>
      <c r="B67" s="176"/>
      <c r="C67" s="176"/>
      <c r="D67" s="176"/>
    </row>
    <row r="68" spans="1:4">
      <c r="A68" s="177" t="s">
        <v>106</v>
      </c>
      <c r="B68" s="182" t="s">
        <v>107</v>
      </c>
      <c r="C68" s="177" t="s">
        <v>18</v>
      </c>
      <c r="D68" s="177" t="s">
        <v>19</v>
      </c>
    </row>
    <row r="69" spans="1:4">
      <c r="A69" s="177" t="s">
        <v>65</v>
      </c>
      <c r="B69" t="s">
        <v>66</v>
      </c>
      <c r="C69" s="177"/>
      <c r="D69" s="185">
        <f>D39</f>
        <v>218.54</v>
      </c>
    </row>
    <row r="70" spans="1:4">
      <c r="A70" s="177" t="s">
        <v>78</v>
      </c>
      <c r="B70" t="s">
        <v>79</v>
      </c>
      <c r="C70" s="177"/>
      <c r="D70" s="185">
        <f>D55</f>
        <v>534.29</v>
      </c>
    </row>
    <row r="71" spans="1:4">
      <c r="A71" s="177" t="s">
        <v>96</v>
      </c>
      <c r="B71" t="s">
        <v>97</v>
      </c>
      <c r="C71" s="177"/>
      <c r="D71" s="185">
        <f>D65</f>
        <v>453.35</v>
      </c>
    </row>
    <row r="72" spans="1:4">
      <c r="A72" s="177" t="s">
        <v>58</v>
      </c>
      <c r="C72" s="177"/>
      <c r="D72" s="185">
        <f>TRUNC((SUM(D69:D71)),2)</f>
        <v>1206.18</v>
      </c>
    </row>
    <row r="74" spans="1:4">
      <c r="A74" s="160" t="s">
        <v>108</v>
      </c>
      <c r="B74" s="160"/>
      <c r="C74" s="160"/>
      <c r="D74" s="160"/>
    </row>
    <row r="75" spans="1:4">
      <c r="A75" s="177" t="s">
        <v>109</v>
      </c>
      <c r="B75" s="182" t="s">
        <v>110</v>
      </c>
      <c r="C75" s="177" t="s">
        <v>38</v>
      </c>
      <c r="D75" s="177" t="s">
        <v>19</v>
      </c>
    </row>
    <row r="76" spans="1:4">
      <c r="A76" s="177" t="s">
        <v>42</v>
      </c>
      <c r="B76" t="s">
        <v>111</v>
      </c>
      <c r="C76" s="195">
        <f>((1/12)*5%)</f>
        <v>0.00416666666666667</v>
      </c>
      <c r="D76" s="179">
        <f>TRUNC(($D$31*C76),2)</f>
        <v>4.68</v>
      </c>
    </row>
    <row r="77" spans="1:4">
      <c r="A77" s="177" t="s">
        <v>45</v>
      </c>
      <c r="B77" t="s">
        <v>112</v>
      </c>
      <c r="C77" s="201">
        <v>0.08</v>
      </c>
      <c r="D77" s="185">
        <f>TRUNC(($D$76*C77),2)</f>
        <v>0.37</v>
      </c>
    </row>
    <row r="78" ht="30" spans="1:4">
      <c r="A78" s="177" t="s">
        <v>48</v>
      </c>
      <c r="B78" s="203" t="s">
        <v>113</v>
      </c>
      <c r="C78" s="204">
        <f>(0.08*0.4*0.05)</f>
        <v>0.0016</v>
      </c>
      <c r="D78" s="198">
        <f>TRUNC(($D$31*C78),2)</f>
        <v>1.79</v>
      </c>
    </row>
    <row r="79" spans="1:4">
      <c r="A79" s="177" t="s">
        <v>50</v>
      </c>
      <c r="B79" t="s">
        <v>114</v>
      </c>
      <c r="C79" s="205">
        <f>(((7/30)/12)*0.95)</f>
        <v>0.0184722222222222</v>
      </c>
      <c r="D79" s="290">
        <f>TRUNC(($D$31*C79),2)</f>
        <v>20.76</v>
      </c>
    </row>
    <row r="80" ht="30" spans="1:4">
      <c r="A80" s="177" t="s">
        <v>53</v>
      </c>
      <c r="B80" s="203" t="s">
        <v>209</v>
      </c>
      <c r="C80" s="204">
        <f>C55</f>
        <v>0.398</v>
      </c>
      <c r="D80" s="198">
        <f>TRUNC(($D$79*C80),2)</f>
        <v>8.26</v>
      </c>
    </row>
    <row r="81" ht="30" spans="1:4">
      <c r="A81" s="177" t="s">
        <v>55</v>
      </c>
      <c r="B81" s="203" t="s">
        <v>115</v>
      </c>
      <c r="C81" s="204">
        <f>(0.08*0.4*0.95)</f>
        <v>0.0304</v>
      </c>
      <c r="D81" s="198">
        <f>TRUNC(($D$31*C81),2)</f>
        <v>34.16</v>
      </c>
    </row>
    <row r="82" spans="1:4">
      <c r="A82" s="177" t="s">
        <v>58</v>
      </c>
      <c r="C82" s="201">
        <f>SUM(C76:C81)</f>
        <v>0.532638888888889</v>
      </c>
      <c r="D82" s="185">
        <f>TRUNC((SUM(D76:D81)),2)</f>
        <v>70.02</v>
      </c>
    </row>
    <row r="83" ht="15.75" spans="1:4">
      <c r="A83" s="177"/>
      <c r="D83" s="185"/>
    </row>
    <row r="84" ht="16.5" spans="1:4">
      <c r="A84" s="189" t="s">
        <v>210</v>
      </c>
      <c r="B84" s="189"/>
      <c r="C84" s="190" t="s">
        <v>202</v>
      </c>
      <c r="D84" s="191">
        <f>D31</f>
        <v>1124</v>
      </c>
    </row>
    <row r="85" ht="16.5" spans="1:4">
      <c r="A85" s="189"/>
      <c r="B85" s="189"/>
      <c r="C85" s="192" t="s">
        <v>211</v>
      </c>
      <c r="D85" s="191">
        <f>D72</f>
        <v>1206.18</v>
      </c>
    </row>
    <row r="86" ht="16.5" spans="1:4">
      <c r="A86" s="189"/>
      <c r="B86" s="189"/>
      <c r="C86" s="190" t="s">
        <v>212</v>
      </c>
      <c r="D86" s="191">
        <f>D82</f>
        <v>70.02</v>
      </c>
    </row>
    <row r="87" ht="16.5" spans="1:4">
      <c r="A87" s="189"/>
      <c r="B87" s="189"/>
      <c r="C87" s="192" t="s">
        <v>204</v>
      </c>
      <c r="D87" s="193">
        <f>TRUNC((SUM(D84:D86)),2)</f>
        <v>2400.2</v>
      </c>
    </row>
    <row r="88" ht="15.75" spans="1:4">
      <c r="A88" s="177"/>
      <c r="D88" s="185"/>
    </row>
    <row r="89" spans="1:4">
      <c r="A89" s="207" t="s">
        <v>127</v>
      </c>
      <c r="B89" s="207"/>
      <c r="C89" s="207"/>
      <c r="D89" s="207"/>
    </row>
    <row r="90" spans="1:4">
      <c r="A90" s="176" t="s">
        <v>128</v>
      </c>
      <c r="B90" s="176"/>
      <c r="C90" s="176"/>
      <c r="D90" s="176"/>
    </row>
    <row r="91" spans="1:4">
      <c r="A91" s="177" t="s">
        <v>129</v>
      </c>
      <c r="B91" s="182" t="s">
        <v>130</v>
      </c>
      <c r="C91" s="177" t="s">
        <v>38</v>
      </c>
      <c r="D91" s="177" t="s">
        <v>19</v>
      </c>
    </row>
    <row r="92" spans="1:4">
      <c r="A92" s="177" t="s">
        <v>42</v>
      </c>
      <c r="B92" t="s">
        <v>213</v>
      </c>
      <c r="C92" s="201">
        <f>(((1+1/3)/12)/12)+((1/12)/12)</f>
        <v>0.0162037037037037</v>
      </c>
      <c r="D92" s="185">
        <f>TRUNC(($D$87*C92),2)</f>
        <v>38.89</v>
      </c>
    </row>
    <row r="93" spans="1:4">
      <c r="A93" s="177" t="s">
        <v>45</v>
      </c>
      <c r="B93" t="s">
        <v>133</v>
      </c>
      <c r="C93" s="195">
        <f>((2/30)/12)</f>
        <v>0.00555555555555556</v>
      </c>
      <c r="D93" s="198">
        <f>TRUNC(($D$87*C93),2)</f>
        <v>13.33</v>
      </c>
    </row>
    <row r="94" spans="1:4">
      <c r="A94" s="177" t="s">
        <v>48</v>
      </c>
      <c r="B94" t="s">
        <v>134</v>
      </c>
      <c r="C94" s="195">
        <f>((5/30)/12)*0.02</f>
        <v>0.000277777777777778</v>
      </c>
      <c r="D94" s="198">
        <f>TRUNC(($D$87*C94),2)</f>
        <v>0.66</v>
      </c>
    </row>
    <row r="95" spans="1:4">
      <c r="A95" s="196" t="s">
        <v>50</v>
      </c>
      <c r="B95" s="203" t="s">
        <v>135</v>
      </c>
      <c r="C95" s="204">
        <f>((15/30)/12)*0.08</f>
        <v>0.00333333333333333</v>
      </c>
      <c r="D95" s="198">
        <f>TRUNC(($D$87*C95),2)</f>
        <v>8</v>
      </c>
    </row>
    <row r="96" spans="1:4">
      <c r="A96" s="177" t="s">
        <v>53</v>
      </c>
      <c r="B96" t="s">
        <v>136</v>
      </c>
      <c r="C96" s="195">
        <f>((1+1/3)/12)*0.03*((4/12))</f>
        <v>0.00111111111111111</v>
      </c>
      <c r="D96" s="198">
        <f>TRUNC(($D$87*C96),2)</f>
        <v>2.66</v>
      </c>
    </row>
    <row r="97" spans="1:4">
      <c r="A97" s="177" t="s">
        <v>55</v>
      </c>
      <c r="B97" s="203" t="s">
        <v>214</v>
      </c>
      <c r="C97" s="208">
        <v>0</v>
      </c>
      <c r="D97" s="198">
        <f>TRUNC($D$87*C97)</f>
        <v>0</v>
      </c>
    </row>
    <row r="98" spans="1:4">
      <c r="A98" s="177" t="s">
        <v>58</v>
      </c>
      <c r="C98" s="201">
        <f>SUM(C92:C97)</f>
        <v>0.0264814814814815</v>
      </c>
      <c r="D98" s="185">
        <f>TRUNC((SUM(D92:D97)),2)</f>
        <v>63.54</v>
      </c>
    </row>
    <row r="99" spans="1:4">
      <c r="A99" s="177"/>
      <c r="C99" s="177"/>
      <c r="D99" s="185"/>
    </row>
    <row r="100" spans="1:4">
      <c r="A100" s="176" t="s">
        <v>144</v>
      </c>
      <c r="B100" s="176"/>
      <c r="C100" s="176"/>
      <c r="D100" s="176"/>
    </row>
    <row r="101" spans="1:4">
      <c r="A101" s="177" t="s">
        <v>145</v>
      </c>
      <c r="B101" s="182" t="s">
        <v>146</v>
      </c>
      <c r="C101" s="177" t="s">
        <v>18</v>
      </c>
      <c r="D101" s="177" t="s">
        <v>19</v>
      </c>
    </row>
    <row r="102" ht="90" spans="1:4">
      <c r="A102" s="196" t="s">
        <v>42</v>
      </c>
      <c r="B102" s="209" t="s">
        <v>147</v>
      </c>
      <c r="C102" s="210" t="s">
        <v>215</v>
      </c>
      <c r="D102" s="277" t="s">
        <v>216</v>
      </c>
    </row>
    <row r="103" spans="1:4">
      <c r="A103" s="177" t="s">
        <v>58</v>
      </c>
      <c r="C103" s="177"/>
      <c r="D103" s="278" t="str">
        <f>D102</f>
        <v>*=TRUNCAR(($D$86/220)*(1*(365/12))/2)</v>
      </c>
    </row>
    <row r="105" spans="1:4">
      <c r="A105" s="176" t="s">
        <v>148</v>
      </c>
      <c r="B105" s="176"/>
      <c r="C105" s="176"/>
      <c r="D105" s="176"/>
    </row>
    <row r="106" spans="1:4">
      <c r="A106" s="177" t="s">
        <v>149</v>
      </c>
      <c r="B106" s="182" t="s">
        <v>150</v>
      </c>
      <c r="C106" s="177" t="s">
        <v>18</v>
      </c>
      <c r="D106" s="177" t="s">
        <v>19</v>
      </c>
    </row>
    <row r="107" spans="1:4">
      <c r="A107" s="177" t="s">
        <v>129</v>
      </c>
      <c r="B107" t="s">
        <v>130</v>
      </c>
      <c r="D107" s="179">
        <f>D98</f>
        <v>63.54</v>
      </c>
    </row>
    <row r="108" spans="1:4">
      <c r="A108" s="177" t="s">
        <v>145</v>
      </c>
      <c r="B108" t="s">
        <v>151</v>
      </c>
      <c r="C108" s="182"/>
      <c r="D108" s="214" t="str">
        <f>Submódulo4.260_55[[#Totals],[Valor]]</f>
        <v>*=TRUNCAR(($D$86/220)*(1*(365/12))/2)</v>
      </c>
    </row>
    <row r="109" ht="60" spans="1:4">
      <c r="A109" s="196" t="s">
        <v>58</v>
      </c>
      <c r="B109" s="197"/>
      <c r="C109" s="210" t="s">
        <v>217</v>
      </c>
      <c r="D109" s="215">
        <f>TRUNC((SUM(D107:D108)),2)</f>
        <v>63.54</v>
      </c>
    </row>
    <row r="111" spans="1:4">
      <c r="A111" s="160" t="s">
        <v>152</v>
      </c>
      <c r="B111" s="160"/>
      <c r="C111" s="160"/>
      <c r="D111" s="160"/>
    </row>
    <row r="112" spans="1:4">
      <c r="A112" s="196" t="s">
        <v>153</v>
      </c>
      <c r="B112" s="197" t="s">
        <v>154</v>
      </c>
      <c r="C112" s="196" t="s">
        <v>18</v>
      </c>
      <c r="D112" s="196" t="s">
        <v>19</v>
      </c>
    </row>
    <row r="113" spans="1:4">
      <c r="A113" s="177" t="s">
        <v>42</v>
      </c>
      <c r="B113" t="s">
        <v>218</v>
      </c>
      <c r="D113" s="216">
        <f>Uniformes!G11</f>
        <v>71.61</v>
      </c>
    </row>
    <row r="114" spans="1:4">
      <c r="A114" s="177" t="s">
        <v>45</v>
      </c>
      <c r="B114" t="s">
        <v>219</v>
      </c>
      <c r="D114" s="216">
        <f>EPC!E21</f>
        <v>35.9</v>
      </c>
    </row>
    <row r="115" spans="1:4">
      <c r="A115" s="177" t="s">
        <v>48</v>
      </c>
      <c r="B115" t="s">
        <v>156</v>
      </c>
      <c r="D115" s="216">
        <f>'Materiais e Equipamentos'!G6</f>
        <v>4.75</v>
      </c>
    </row>
    <row r="116" spans="1:4">
      <c r="A116" s="177" t="s">
        <v>50</v>
      </c>
      <c r="B116" t="s">
        <v>157</v>
      </c>
      <c r="D116" s="216">
        <v>0</v>
      </c>
    </row>
    <row r="117" spans="1:4">
      <c r="A117" s="177" t="s">
        <v>53</v>
      </c>
      <c r="B117" t="s">
        <v>220</v>
      </c>
      <c r="D117" s="179">
        <f>H116</f>
        <v>0</v>
      </c>
    </row>
    <row r="118" spans="1:4">
      <c r="A118" s="177" t="s">
        <v>58</v>
      </c>
      <c r="D118" s="185">
        <f>TRUNC(SUM(D113:D117),2)</f>
        <v>112.26</v>
      </c>
    </row>
    <row r="119" ht="15.75"/>
    <row r="120" ht="16.5" spans="1:4">
      <c r="A120" s="189" t="s">
        <v>221</v>
      </c>
      <c r="B120" s="189"/>
      <c r="C120" s="190" t="s">
        <v>202</v>
      </c>
      <c r="D120" s="191">
        <f>D31</f>
        <v>1124</v>
      </c>
    </row>
    <row r="121" ht="16.5" spans="1:4">
      <c r="A121" s="189"/>
      <c r="B121" s="189"/>
      <c r="C121" s="192" t="s">
        <v>211</v>
      </c>
      <c r="D121" s="191">
        <f>D72</f>
        <v>1206.18</v>
      </c>
    </row>
    <row r="122" ht="16.5" spans="1:4">
      <c r="A122" s="189"/>
      <c r="B122" s="189"/>
      <c r="C122" s="190" t="s">
        <v>212</v>
      </c>
      <c r="D122" s="191">
        <f>D82</f>
        <v>70.02</v>
      </c>
    </row>
    <row r="123" ht="16.5" spans="1:4">
      <c r="A123" s="189"/>
      <c r="B123" s="189"/>
      <c r="C123" s="192" t="s">
        <v>222</v>
      </c>
      <c r="D123" s="191">
        <f>D109</f>
        <v>63.54</v>
      </c>
    </row>
    <row r="124" ht="16.5" spans="1:4">
      <c r="A124" s="189"/>
      <c r="B124" s="189"/>
      <c r="C124" s="190" t="s">
        <v>223</v>
      </c>
      <c r="D124" s="191">
        <f>D118</f>
        <v>112.26</v>
      </c>
    </row>
    <row r="125" ht="16.5" spans="1:4">
      <c r="A125" s="189"/>
      <c r="B125" s="189"/>
      <c r="C125" s="192" t="s">
        <v>204</v>
      </c>
      <c r="D125" s="193">
        <f>TRUNC((SUM(D120:D124)),2)</f>
        <v>2576</v>
      </c>
    </row>
    <row r="126" ht="15.75"/>
    <row r="127" spans="1:4">
      <c r="A127" s="160" t="s">
        <v>164</v>
      </c>
      <c r="B127" s="160"/>
      <c r="C127" s="160"/>
      <c r="D127" s="160"/>
    </row>
    <row r="128" ht="15.75" spans="1:7">
      <c r="A128" s="177" t="s">
        <v>165</v>
      </c>
      <c r="B128" t="s">
        <v>166</v>
      </c>
      <c r="C128" s="177" t="s">
        <v>38</v>
      </c>
      <c r="D128" s="177" t="s">
        <v>19</v>
      </c>
      <c r="F128" s="217" t="s">
        <v>224</v>
      </c>
      <c r="G128" s="217"/>
    </row>
    <row r="129" ht="15.75" spans="1:7">
      <c r="A129" s="177" t="s">
        <v>42</v>
      </c>
      <c r="B129" t="s">
        <v>167</v>
      </c>
      <c r="C129" s="218">
        <v>0.044</v>
      </c>
      <c r="D129" s="216">
        <f>TRUNC(($D$125*C129),2)</f>
        <v>113.34</v>
      </c>
      <c r="F129" s="219" t="s">
        <v>225</v>
      </c>
      <c r="G129" s="204">
        <f>C131</f>
        <v>0.0865</v>
      </c>
    </row>
    <row r="130" ht="15.75" spans="1:7">
      <c r="A130" s="177" t="s">
        <v>45</v>
      </c>
      <c r="B130" t="s">
        <v>59</v>
      </c>
      <c r="C130" s="218">
        <v>0.0413</v>
      </c>
      <c r="D130" s="216">
        <f>TRUNC((C130*(D125+D129)),2)</f>
        <v>111.06</v>
      </c>
      <c r="F130" s="220" t="s">
        <v>226</v>
      </c>
      <c r="G130" s="291">
        <f>TRUNC(SUM(D125,D129,D130),2)</f>
        <v>2800.4</v>
      </c>
    </row>
    <row r="131" ht="15.75" spans="1:7">
      <c r="A131" s="177" t="s">
        <v>48</v>
      </c>
      <c r="B131" t="s">
        <v>168</v>
      </c>
      <c r="C131" s="195">
        <f>SUM(C132:C134)</f>
        <v>0.0865</v>
      </c>
      <c r="D131" s="179">
        <f>TRUNC((SUM(D132:D134)),2)</f>
        <v>265.15</v>
      </c>
      <c r="F131" s="219" t="s">
        <v>227</v>
      </c>
      <c r="G131" s="222">
        <f>(100-8.65)/100</f>
        <v>0.9135</v>
      </c>
    </row>
    <row r="132" ht="15.75" spans="1:7">
      <c r="A132" s="177"/>
      <c r="B132" t="s">
        <v>228</v>
      </c>
      <c r="C132" s="195">
        <v>0.0065</v>
      </c>
      <c r="D132" s="179">
        <f>TRUNC(($G$132*C132),2)</f>
        <v>19.92</v>
      </c>
      <c r="F132" s="220" t="s">
        <v>224</v>
      </c>
      <c r="G132" s="291">
        <f>TRUNC((G130/G131),2)</f>
        <v>3065.57</v>
      </c>
    </row>
    <row r="133" ht="15.75" spans="1:4">
      <c r="A133" s="177"/>
      <c r="B133" t="s">
        <v>229</v>
      </c>
      <c r="C133" s="195">
        <v>0.03</v>
      </c>
      <c r="D133" s="179">
        <f>TRUNC(($G$132*C133),2)</f>
        <v>91.96</v>
      </c>
    </row>
    <row r="134" spans="1:4">
      <c r="A134" s="177"/>
      <c r="B134" t="s">
        <v>230</v>
      </c>
      <c r="C134" s="195">
        <v>0.05</v>
      </c>
      <c r="D134" s="179">
        <f>TRUNC(($G$132*C134),2)</f>
        <v>153.27</v>
      </c>
    </row>
    <row r="135" spans="1:4">
      <c r="A135" s="177" t="s">
        <v>58</v>
      </c>
      <c r="C135" s="223"/>
      <c r="D135" s="185">
        <f>TRUNC(SUM(D129:D131),2)</f>
        <v>489.55</v>
      </c>
    </row>
    <row r="136" spans="1:4">
      <c r="A136" s="177"/>
      <c r="C136" s="223"/>
      <c r="D136" s="185"/>
    </row>
    <row r="138" spans="1:4">
      <c r="A138" s="160" t="s">
        <v>172</v>
      </c>
      <c r="B138" s="160"/>
      <c r="C138" s="160"/>
      <c r="D138" s="160"/>
    </row>
    <row r="139" spans="1:4">
      <c r="A139" s="177" t="s">
        <v>16</v>
      </c>
      <c r="B139" s="177" t="s">
        <v>173</v>
      </c>
      <c r="C139" s="177" t="s">
        <v>102</v>
      </c>
      <c r="D139" s="177" t="s">
        <v>19</v>
      </c>
    </row>
    <row r="140" spans="1:4">
      <c r="A140" s="177" t="s">
        <v>42</v>
      </c>
      <c r="B140" t="s">
        <v>36</v>
      </c>
      <c r="D140" s="185">
        <f>D31</f>
        <v>1124</v>
      </c>
    </row>
    <row r="141" spans="1:4">
      <c r="A141" s="177" t="s">
        <v>45</v>
      </c>
      <c r="B141" t="s">
        <v>61</v>
      </c>
      <c r="D141" s="185">
        <f>D72</f>
        <v>1206.18</v>
      </c>
    </row>
    <row r="142" spans="1:4">
      <c r="A142" s="177" t="s">
        <v>48</v>
      </c>
      <c r="B142" t="s">
        <v>108</v>
      </c>
      <c r="D142" s="185">
        <f>D82</f>
        <v>70.02</v>
      </c>
    </row>
    <row r="143" spans="1:4">
      <c r="A143" s="177" t="s">
        <v>50</v>
      </c>
      <c r="B143" t="s">
        <v>174</v>
      </c>
      <c r="D143" s="185">
        <f>D109</f>
        <v>63.54</v>
      </c>
    </row>
    <row r="144" spans="1:4">
      <c r="A144" s="177" t="s">
        <v>53</v>
      </c>
      <c r="B144" t="s">
        <v>152</v>
      </c>
      <c r="D144" s="185">
        <f>D118</f>
        <v>112.26</v>
      </c>
    </row>
    <row r="145" spans="2:4">
      <c r="B145" s="224" t="s">
        <v>175</v>
      </c>
      <c r="D145" s="185">
        <f>TRUNC(SUM(D140:D144),2)</f>
        <v>2576</v>
      </c>
    </row>
    <row r="146" spans="1:4">
      <c r="A146" s="177" t="s">
        <v>55</v>
      </c>
      <c r="B146" t="s">
        <v>164</v>
      </c>
      <c r="D146" s="185">
        <f>D135</f>
        <v>489.55</v>
      </c>
    </row>
    <row r="147" spans="1:4">
      <c r="A147" s="225"/>
      <c r="B147" s="226" t="s">
        <v>231</v>
      </c>
      <c r="C147" s="225"/>
      <c r="D147" s="227">
        <f>TRUNC((SUM(D140:D144)+D146),2)</f>
        <v>3065.55</v>
      </c>
    </row>
    <row r="148" spans="1:4">
      <c r="A148" s="293"/>
      <c r="B148" s="294" t="s">
        <v>232</v>
      </c>
      <c r="C148" s="293"/>
      <c r="D148" s="295">
        <f>TRUNC(D147*2,2)</f>
        <v>6131.1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3" workbookViewId="0">
      <selection activeCell="A2" sqref="A2:D149"/>
    </sheetView>
  </sheetViews>
  <sheetFormatPr defaultColWidth="9.14285714285714" defaultRowHeight="15" outlineLevelCol="6"/>
  <cols>
    <col min="1" max="1" width="10.8571428571429" customWidth="1"/>
    <col min="2" max="2" width="51.1428571428571" customWidth="1"/>
    <col min="3" max="3" width="25.5714285714286" customWidth="1"/>
    <col min="4" max="4" width="34.5714285714286" customWidth="1"/>
    <col min="6" max="6" width="22.8571428571429" customWidth="1"/>
    <col min="7" max="7" width="13.647619047619" customWidth="1"/>
    <col min="8" max="8" width="10.952380952381" customWidth="1"/>
    <col min="9" max="9" width="11.4285714285714" customWidth="1"/>
  </cols>
  <sheetData>
    <row r="2" ht="19.5" spans="1:4">
      <c r="A2" s="153" t="s">
        <v>177</v>
      </c>
      <c r="B2" s="153"/>
      <c r="C2" s="153"/>
      <c r="D2" s="153"/>
    </row>
    <row r="3" ht="15.75" spans="1:4">
      <c r="A3" s="154" t="s">
        <v>178</v>
      </c>
      <c r="B3" s="154"/>
      <c r="C3" s="154"/>
      <c r="D3" s="154"/>
    </row>
    <row r="4" spans="1:4">
      <c r="A4" s="155" t="s">
        <v>179</v>
      </c>
      <c r="B4" s="156" t="s">
        <v>180</v>
      </c>
      <c r="C4" s="157"/>
      <c r="D4" s="157"/>
    </row>
    <row r="5" spans="1:4">
      <c r="A5" s="158"/>
      <c r="B5" s="159"/>
      <c r="C5" s="159"/>
      <c r="D5" s="159"/>
    </row>
    <row r="6" ht="15.75" spans="1:4">
      <c r="A6" s="160" t="s">
        <v>181</v>
      </c>
      <c r="B6" s="160"/>
      <c r="C6" s="160"/>
      <c r="D6" s="160"/>
    </row>
    <row r="7" ht="15.75" spans="1:4">
      <c r="A7" s="161" t="s">
        <v>42</v>
      </c>
      <c r="B7" s="162" t="s">
        <v>182</v>
      </c>
      <c r="C7" s="163" t="s">
        <v>183</v>
      </c>
      <c r="D7" s="163"/>
    </row>
    <row r="8" spans="1:4">
      <c r="A8" s="164" t="s">
        <v>45</v>
      </c>
      <c r="B8" s="165" t="s">
        <v>184</v>
      </c>
      <c r="C8" s="166" t="s">
        <v>185</v>
      </c>
      <c r="D8" s="166"/>
    </row>
    <row r="9" spans="1:4">
      <c r="A9" s="167" t="s">
        <v>48</v>
      </c>
      <c r="B9" s="168" t="s">
        <v>186</v>
      </c>
      <c r="C9" s="166" t="s">
        <v>233</v>
      </c>
      <c r="D9" s="166"/>
    </row>
    <row r="10" spans="1:4">
      <c r="A10" s="164" t="s">
        <v>53</v>
      </c>
      <c r="B10" s="165" t="s">
        <v>188</v>
      </c>
      <c r="C10" s="166" t="s">
        <v>189</v>
      </c>
      <c r="D10" s="166"/>
    </row>
    <row r="11" ht="15.75" spans="1:4">
      <c r="A11" s="169" t="s">
        <v>190</v>
      </c>
      <c r="B11" s="169"/>
      <c r="C11" s="169"/>
      <c r="D11" s="169"/>
    </row>
    <row r="12" ht="16.5" spans="1:4">
      <c r="A12" s="170" t="s">
        <v>191</v>
      </c>
      <c r="B12" s="170"/>
      <c r="C12" s="169" t="s">
        <v>192</v>
      </c>
      <c r="D12" s="171" t="s">
        <v>193</v>
      </c>
    </row>
    <row r="13" ht="15.75" spans="1:4">
      <c r="A13" s="172" t="s">
        <v>234</v>
      </c>
      <c r="B13" s="172"/>
      <c r="C13" s="166" t="s">
        <v>235</v>
      </c>
      <c r="D13" s="173">
        <f>RESUMO!D6</f>
        <v>1</v>
      </c>
    </row>
    <row r="14" spans="1:4">
      <c r="A14" s="174"/>
      <c r="B14" s="174"/>
      <c r="C14" s="166"/>
      <c r="D14" s="175"/>
    </row>
    <row r="15" ht="15.75" spans="1:7">
      <c r="A15" s="169" t="s">
        <v>14</v>
      </c>
      <c r="B15" s="169"/>
      <c r="C15" s="169"/>
      <c r="D15" s="169"/>
      <c r="F15" s="176"/>
      <c r="G15" s="176"/>
    </row>
    <row r="16" ht="15.75" spans="1:4">
      <c r="A16" s="177" t="s">
        <v>16</v>
      </c>
      <c r="B16" t="s">
        <v>17</v>
      </c>
      <c r="C16" s="177" t="s">
        <v>18</v>
      </c>
      <c r="D16" s="177" t="s">
        <v>19</v>
      </c>
    </row>
    <row r="17" spans="1:4">
      <c r="A17" s="177">
        <v>1</v>
      </c>
      <c r="B17" t="s">
        <v>20</v>
      </c>
      <c r="C17" s="178" t="s">
        <v>102</v>
      </c>
      <c r="D17" s="178" t="str">
        <f>A13</f>
        <v>Motorista Interestadual</v>
      </c>
    </row>
    <row r="18" spans="1:4">
      <c r="A18" s="177">
        <v>2</v>
      </c>
      <c r="B18" t="s">
        <v>23</v>
      </c>
      <c r="C18" s="178" t="s">
        <v>196</v>
      </c>
      <c r="D18" s="178" t="s">
        <v>236</v>
      </c>
    </row>
    <row r="19" spans="1:4">
      <c r="A19" s="177">
        <v>3</v>
      </c>
      <c r="B19" t="s">
        <v>26</v>
      </c>
      <c r="C19" s="178" t="str">
        <f>C9</f>
        <v>CCT PB000035/2019*</v>
      </c>
      <c r="D19" s="179">
        <v>2629</v>
      </c>
    </row>
    <row r="20" spans="1:4">
      <c r="A20" s="177">
        <v>4</v>
      </c>
      <c r="B20" t="s">
        <v>29</v>
      </c>
      <c r="C20" s="178" t="str">
        <f>C9</f>
        <v>CCT PB000035/2019*</v>
      </c>
      <c r="D20" s="180" t="s">
        <v>237</v>
      </c>
    </row>
    <row r="21" spans="1:4">
      <c r="A21" s="177">
        <v>5</v>
      </c>
      <c r="B21" t="s">
        <v>33</v>
      </c>
      <c r="C21" s="178" t="str">
        <f>C9</f>
        <v>CCT PB000035/2019*</v>
      </c>
      <c r="D21" s="181" t="s">
        <v>199</v>
      </c>
    </row>
    <row r="22" spans="6:7">
      <c r="F22" s="176"/>
      <c r="G22" s="176"/>
    </row>
    <row r="23" spans="1:4">
      <c r="A23" s="160" t="s">
        <v>36</v>
      </c>
      <c r="B23" s="160"/>
      <c r="C23" s="160"/>
      <c r="D23" s="160"/>
    </row>
    <row r="24" spans="1:7">
      <c r="A24" s="177" t="s">
        <v>39</v>
      </c>
      <c r="B24" s="182" t="s">
        <v>40</v>
      </c>
      <c r="C24" s="177" t="s">
        <v>18</v>
      </c>
      <c r="D24" s="177" t="s">
        <v>19</v>
      </c>
      <c r="G24" s="183"/>
    </row>
    <row r="25" spans="1:7">
      <c r="A25" s="177" t="s">
        <v>42</v>
      </c>
      <c r="B25" t="s">
        <v>43</v>
      </c>
      <c r="C25" s="180" t="str">
        <f>C9</f>
        <v>CCT PB000035/2019*</v>
      </c>
      <c r="D25" s="179">
        <f>D19</f>
        <v>2629</v>
      </c>
      <c r="G25" s="183"/>
    </row>
    <row r="26" spans="1:7">
      <c r="A26" s="177" t="s">
        <v>45</v>
      </c>
      <c r="B26" t="s">
        <v>46</v>
      </c>
      <c r="C26" s="180"/>
      <c r="D26" s="179">
        <v>0</v>
      </c>
      <c r="G26" s="183"/>
    </row>
    <row r="27" spans="1:4">
      <c r="A27" s="177" t="s">
        <v>48</v>
      </c>
      <c r="B27" t="s">
        <v>49</v>
      </c>
      <c r="C27" s="180"/>
      <c r="D27" s="179">
        <v>0</v>
      </c>
    </row>
    <row r="28" spans="1:4">
      <c r="A28" s="177" t="s">
        <v>50</v>
      </c>
      <c r="B28" t="s">
        <v>51</v>
      </c>
      <c r="C28" s="180"/>
      <c r="D28" s="179">
        <v>0</v>
      </c>
    </row>
    <row r="29" spans="1:4">
      <c r="A29" s="177" t="s">
        <v>53</v>
      </c>
      <c r="B29" t="s">
        <v>54</v>
      </c>
      <c r="C29" s="180"/>
      <c r="D29" s="179">
        <v>0</v>
      </c>
    </row>
    <row r="30" spans="1:4">
      <c r="A30" s="177" t="s">
        <v>55</v>
      </c>
      <c r="B30" t="s">
        <v>56</v>
      </c>
      <c r="C30" s="180"/>
      <c r="D30" s="179">
        <v>0</v>
      </c>
    </row>
    <row r="31" spans="1:7">
      <c r="A31" s="177" t="s">
        <v>58</v>
      </c>
      <c r="C31" s="177"/>
      <c r="D31" s="185">
        <f>TRUNC(SUM(D25:D30),2)</f>
        <v>2629</v>
      </c>
      <c r="F31" s="176"/>
      <c r="G31" s="176"/>
    </row>
    <row r="33" spans="1:7">
      <c r="A33" s="186" t="s">
        <v>61</v>
      </c>
      <c r="B33" s="186"/>
      <c r="C33" s="186"/>
      <c r="D33" s="186"/>
      <c r="G33" s="183"/>
    </row>
    <row r="35" spans="1:4">
      <c r="A35" s="176" t="s">
        <v>63</v>
      </c>
      <c r="B35" s="176"/>
      <c r="C35" s="176"/>
      <c r="D35" s="176"/>
    </row>
    <row r="36" spans="1:4">
      <c r="A36" s="177" t="s">
        <v>65</v>
      </c>
      <c r="B36" s="182" t="s">
        <v>66</v>
      </c>
      <c r="C36" s="177" t="s">
        <v>38</v>
      </c>
      <c r="D36" s="177" t="s">
        <v>19</v>
      </c>
    </row>
    <row r="37" spans="1:7">
      <c r="A37" s="177" t="s">
        <v>42</v>
      </c>
      <c r="B37" t="s">
        <v>67</v>
      </c>
      <c r="C37" s="187">
        <f>(1/12)</f>
        <v>0.0833333333333333</v>
      </c>
      <c r="D37" s="185">
        <f>TRUNC($D$31*C37,2)</f>
        <v>219.08</v>
      </c>
      <c r="F37" s="188"/>
      <c r="G37" s="188"/>
    </row>
    <row r="38" spans="1:7">
      <c r="A38" s="177" t="s">
        <v>45</v>
      </c>
      <c r="B38" t="s">
        <v>68</v>
      </c>
      <c r="C38" s="187">
        <f>(((1+1/3)/12))</f>
        <v>0.111111111111111</v>
      </c>
      <c r="D38" s="185">
        <f>TRUNC($D$31*C38,2)</f>
        <v>292.11</v>
      </c>
      <c r="F38" s="188"/>
      <c r="G38" s="188"/>
    </row>
    <row r="39" spans="1:7">
      <c r="A39" s="177" t="s">
        <v>58</v>
      </c>
      <c r="D39" s="185">
        <f>TRUNC((SUM(D37:D38)),2)</f>
        <v>511.19</v>
      </c>
      <c r="F39" s="188"/>
      <c r="G39" s="188"/>
    </row>
    <row r="40" ht="15.75" spans="4:7">
      <c r="D40" s="185"/>
      <c r="F40" s="188"/>
      <c r="G40" s="188"/>
    </row>
    <row r="41" ht="16.5" spans="1:7">
      <c r="A41" s="189" t="s">
        <v>201</v>
      </c>
      <c r="B41" s="189"/>
      <c r="C41" s="190" t="s">
        <v>202</v>
      </c>
      <c r="D41" s="191">
        <f>D31</f>
        <v>2629</v>
      </c>
      <c r="F41" s="188"/>
      <c r="G41" s="188"/>
    </row>
    <row r="42" ht="16.5" spans="1:7">
      <c r="A42" s="189"/>
      <c r="B42" s="189"/>
      <c r="C42" s="192" t="s">
        <v>203</v>
      </c>
      <c r="D42" s="191">
        <f>D39</f>
        <v>511.19</v>
      </c>
      <c r="F42" s="188"/>
      <c r="G42" s="188"/>
    </row>
    <row r="43" ht="16.5" spans="1:7">
      <c r="A43" s="189"/>
      <c r="B43" s="189"/>
      <c r="C43" s="190" t="s">
        <v>204</v>
      </c>
      <c r="D43" s="193">
        <f>TRUNC((SUM(D41:D42)),2)</f>
        <v>3140.19</v>
      </c>
      <c r="F43" s="188"/>
      <c r="G43" s="188"/>
    </row>
    <row r="44" ht="15.75" spans="1:7">
      <c r="A44" s="177"/>
      <c r="C44" s="194"/>
      <c r="D44" s="185"/>
      <c r="F44" s="188"/>
      <c r="G44" s="188"/>
    </row>
    <row r="45" spans="1:4">
      <c r="A45" s="176" t="s">
        <v>77</v>
      </c>
      <c r="B45" s="176"/>
      <c r="C45" s="176"/>
      <c r="D45" s="176"/>
    </row>
    <row r="46" spans="1:4">
      <c r="A46" s="177" t="s">
        <v>78</v>
      </c>
      <c r="B46" s="182" t="s">
        <v>79</v>
      </c>
      <c r="C46" s="177" t="s">
        <v>38</v>
      </c>
      <c r="D46" s="177" t="s">
        <v>80</v>
      </c>
    </row>
    <row r="47" spans="1:4">
      <c r="A47" s="177" t="s">
        <v>42</v>
      </c>
      <c r="B47" t="s">
        <v>81</v>
      </c>
      <c r="C47" s="187">
        <v>0.2</v>
      </c>
      <c r="D47" s="185">
        <f t="shared" ref="D47:D54" si="0">TRUNC(($D$43*C47),2)</f>
        <v>628.03</v>
      </c>
    </row>
    <row r="48" spans="1:4">
      <c r="A48" s="177" t="s">
        <v>45</v>
      </c>
      <c r="B48" t="s">
        <v>82</v>
      </c>
      <c r="C48" s="187">
        <v>0.025</v>
      </c>
      <c r="D48" s="185">
        <f t="shared" si="0"/>
        <v>78.5</v>
      </c>
    </row>
    <row r="49" spans="1:4">
      <c r="A49" s="177" t="s">
        <v>48</v>
      </c>
      <c r="B49" t="s">
        <v>205</v>
      </c>
      <c r="C49" s="195">
        <v>0.06</v>
      </c>
      <c r="D49" s="179">
        <f t="shared" si="0"/>
        <v>188.41</v>
      </c>
    </row>
    <row r="50" spans="1:4">
      <c r="A50" s="177" t="s">
        <v>50</v>
      </c>
      <c r="B50" t="s">
        <v>84</v>
      </c>
      <c r="C50" s="187">
        <v>0.015</v>
      </c>
      <c r="D50" s="185">
        <f t="shared" si="0"/>
        <v>47.1</v>
      </c>
    </row>
    <row r="51" spans="1:4">
      <c r="A51" s="177" t="s">
        <v>53</v>
      </c>
      <c r="B51" t="s">
        <v>85</v>
      </c>
      <c r="C51" s="187">
        <v>0.01</v>
      </c>
      <c r="D51" s="185">
        <f t="shared" si="0"/>
        <v>31.4</v>
      </c>
    </row>
    <row r="52" spans="1:4">
      <c r="A52" s="177" t="s">
        <v>55</v>
      </c>
      <c r="B52" t="s">
        <v>86</v>
      </c>
      <c r="C52" s="187">
        <v>0.006</v>
      </c>
      <c r="D52" s="185">
        <f t="shared" si="0"/>
        <v>18.84</v>
      </c>
    </row>
    <row r="53" spans="1:4">
      <c r="A53" s="177" t="s">
        <v>87</v>
      </c>
      <c r="B53" t="s">
        <v>88</v>
      </c>
      <c r="C53" s="187">
        <v>0.002</v>
      </c>
      <c r="D53" s="185">
        <f t="shared" si="0"/>
        <v>6.28</v>
      </c>
    </row>
    <row r="54" spans="1:4">
      <c r="A54" s="177" t="s">
        <v>89</v>
      </c>
      <c r="B54" t="s">
        <v>90</v>
      </c>
      <c r="C54" s="187">
        <v>0.08</v>
      </c>
      <c r="D54" s="185">
        <f t="shared" si="0"/>
        <v>251.21</v>
      </c>
    </row>
    <row r="55" spans="1:4">
      <c r="A55" s="177" t="s">
        <v>58</v>
      </c>
      <c r="C55" s="194">
        <f>SUM(C47:C54)</f>
        <v>0.398</v>
      </c>
      <c r="D55" s="185">
        <f>TRUNC((SUM(D47:D54)),2)</f>
        <v>1249.77</v>
      </c>
    </row>
    <row r="56" spans="1:4">
      <c r="A56" s="177"/>
      <c r="C56" s="194"/>
      <c r="D56" s="185"/>
    </row>
    <row r="57" spans="1:4">
      <c r="A57" s="176" t="s">
        <v>95</v>
      </c>
      <c r="B57" s="176"/>
      <c r="C57" s="176"/>
      <c r="D57" s="176"/>
    </row>
    <row r="58" spans="1:4">
      <c r="A58" s="177" t="s">
        <v>96</v>
      </c>
      <c r="B58" s="182" t="s">
        <v>97</v>
      </c>
      <c r="C58" s="177" t="s">
        <v>18</v>
      </c>
      <c r="D58" s="177" t="s">
        <v>19</v>
      </c>
    </row>
    <row r="59" spans="1:4">
      <c r="A59" s="177" t="s">
        <v>42</v>
      </c>
      <c r="B59" t="s">
        <v>98</v>
      </c>
      <c r="C59" s="178"/>
      <c r="D59" s="184">
        <v>0</v>
      </c>
    </row>
    <row r="60" spans="1:4">
      <c r="A60" s="177" t="s">
        <v>45</v>
      </c>
      <c r="B60" t="s">
        <v>99</v>
      </c>
      <c r="C60" s="178" t="str">
        <f>C9</f>
        <v>CCT PB000035/2019*</v>
      </c>
      <c r="D60" s="179">
        <v>600</v>
      </c>
    </row>
    <row r="61" spans="1:4">
      <c r="A61" s="177" t="s">
        <v>48</v>
      </c>
      <c r="B61" t="s">
        <v>100</v>
      </c>
      <c r="C61" s="178"/>
      <c r="D61" s="179">
        <v>0</v>
      </c>
    </row>
    <row r="62" spans="1:6">
      <c r="A62" s="196" t="s">
        <v>50</v>
      </c>
      <c r="B62" s="197" t="s">
        <v>206</v>
      </c>
      <c r="C62" s="198"/>
      <c r="D62" s="198">
        <v>0</v>
      </c>
      <c r="F62" s="197"/>
    </row>
    <row r="63" spans="1:4">
      <c r="A63" s="177" t="s">
        <v>53</v>
      </c>
      <c r="B63" s="182" t="s">
        <v>207</v>
      </c>
      <c r="C63" s="178"/>
      <c r="D63" s="179">
        <v>0</v>
      </c>
    </row>
    <row r="64" spans="1:4">
      <c r="A64" s="177" t="s">
        <v>55</v>
      </c>
      <c r="B64" s="199" t="s">
        <v>208</v>
      </c>
      <c r="C64" s="198"/>
      <c r="D64" s="179">
        <v>0</v>
      </c>
    </row>
    <row r="65" spans="1:4">
      <c r="A65" s="177" t="s">
        <v>58</v>
      </c>
      <c r="D65" s="185">
        <f>TRUNC((SUM(D59:D64)),2)</f>
        <v>600</v>
      </c>
    </row>
    <row r="66" spans="1:4">
      <c r="A66" s="177"/>
      <c r="D66" s="185"/>
    </row>
    <row r="67" spans="1:4">
      <c r="A67" s="176" t="s">
        <v>105</v>
      </c>
      <c r="B67" s="176"/>
      <c r="C67" s="176"/>
      <c r="D67" s="176"/>
    </row>
    <row r="68" spans="1:4">
      <c r="A68" s="177" t="s">
        <v>106</v>
      </c>
      <c r="B68" s="182" t="s">
        <v>107</v>
      </c>
      <c r="C68" s="177" t="s">
        <v>18</v>
      </c>
      <c r="D68" s="177" t="s">
        <v>19</v>
      </c>
    </row>
    <row r="69" spans="1:4">
      <c r="A69" s="177" t="s">
        <v>65</v>
      </c>
      <c r="B69" t="s">
        <v>66</v>
      </c>
      <c r="C69" s="177"/>
      <c r="D69" s="185">
        <f>D39</f>
        <v>511.19</v>
      </c>
    </row>
    <row r="70" spans="1:4">
      <c r="A70" s="177" t="s">
        <v>78</v>
      </c>
      <c r="B70" t="s">
        <v>79</v>
      </c>
      <c r="C70" s="177"/>
      <c r="D70" s="185">
        <f>D55</f>
        <v>1249.77</v>
      </c>
    </row>
    <row r="71" spans="1:4">
      <c r="A71" s="177" t="s">
        <v>96</v>
      </c>
      <c r="B71" t="s">
        <v>97</v>
      </c>
      <c r="C71" s="177"/>
      <c r="D71" s="185">
        <f>D65</f>
        <v>600</v>
      </c>
    </row>
    <row r="72" spans="1:4">
      <c r="A72" s="177" t="s">
        <v>58</v>
      </c>
      <c r="C72" s="177"/>
      <c r="D72" s="185">
        <f>TRUNC(SUM(D69:D71),2)</f>
        <v>2360.96</v>
      </c>
    </row>
    <row r="74" spans="1:4">
      <c r="A74" s="160" t="s">
        <v>108</v>
      </c>
      <c r="B74" s="160"/>
      <c r="C74" s="160"/>
      <c r="D74" s="160"/>
    </row>
    <row r="75" spans="1:4">
      <c r="A75" s="177" t="s">
        <v>109</v>
      </c>
      <c r="B75" s="182" t="s">
        <v>110</v>
      </c>
      <c r="C75" s="177" t="s">
        <v>38</v>
      </c>
      <c r="D75" s="177" t="s">
        <v>19</v>
      </c>
    </row>
    <row r="76" spans="1:4">
      <c r="A76" s="177" t="s">
        <v>42</v>
      </c>
      <c r="B76" t="s">
        <v>111</v>
      </c>
      <c r="C76" s="195">
        <f>((1/12)*5%)</f>
        <v>0.00416666666666667</v>
      </c>
      <c r="D76" s="179">
        <f>TRUNC(($D$31*C76),2)</f>
        <v>10.95</v>
      </c>
    </row>
    <row r="77" spans="1:4">
      <c r="A77" s="177" t="s">
        <v>45</v>
      </c>
      <c r="B77" t="s">
        <v>112</v>
      </c>
      <c r="C77" s="201">
        <v>0.08</v>
      </c>
      <c r="D77" s="185">
        <f>TRUNC(($D$76*C77),2)</f>
        <v>0.87</v>
      </c>
    </row>
    <row r="78" ht="30" spans="1:4">
      <c r="A78" s="177" t="s">
        <v>48</v>
      </c>
      <c r="B78" s="203" t="s">
        <v>113</v>
      </c>
      <c r="C78" s="204">
        <f>(0.08*0.4*0.05)</f>
        <v>0.0016</v>
      </c>
      <c r="D78" s="198">
        <f>TRUNC(($D$31*C78),2)</f>
        <v>4.2</v>
      </c>
    </row>
    <row r="79" spans="1:4">
      <c r="A79" s="177" t="s">
        <v>50</v>
      </c>
      <c r="B79" t="s">
        <v>114</v>
      </c>
      <c r="C79" s="205">
        <f>(((7/30)/12)*0.95)</f>
        <v>0.0184722222222222</v>
      </c>
      <c r="D79" s="290">
        <f>TRUNC(($D$31*C79),2)</f>
        <v>48.56</v>
      </c>
    </row>
    <row r="80" ht="30" spans="1:4">
      <c r="A80" s="177" t="s">
        <v>53</v>
      </c>
      <c r="B80" s="203" t="s">
        <v>209</v>
      </c>
      <c r="C80" s="204">
        <f>C55</f>
        <v>0.398</v>
      </c>
      <c r="D80" s="198">
        <f>TRUNC(($D$79*C80),2)</f>
        <v>19.32</v>
      </c>
    </row>
    <row r="81" ht="30" spans="1:4">
      <c r="A81" s="177" t="s">
        <v>55</v>
      </c>
      <c r="B81" s="203" t="s">
        <v>115</v>
      </c>
      <c r="C81" s="204">
        <f>(0.08*0.4*0.95)</f>
        <v>0.0304</v>
      </c>
      <c r="D81" s="198">
        <f>TRUNC(($D$31*C81),2)</f>
        <v>79.92</v>
      </c>
    </row>
    <row r="82" spans="1:4">
      <c r="A82" s="177" t="s">
        <v>58</v>
      </c>
      <c r="C82" s="201">
        <f>SUM(C76:C81)</f>
        <v>0.532638888888889</v>
      </c>
      <c r="D82" s="185">
        <f>TRUNC((SUM(D76:D81)),2)</f>
        <v>163.82</v>
      </c>
    </row>
    <row r="83" ht="15.75" spans="1:4">
      <c r="A83" s="177"/>
      <c r="D83" s="185"/>
    </row>
    <row r="84" ht="16.5" spans="1:4">
      <c r="A84" s="189" t="s">
        <v>210</v>
      </c>
      <c r="B84" s="189"/>
      <c r="C84" s="190" t="s">
        <v>202</v>
      </c>
      <c r="D84" s="191">
        <f>D31</f>
        <v>2629</v>
      </c>
    </row>
    <row r="85" ht="16.5" spans="1:4">
      <c r="A85" s="189"/>
      <c r="B85" s="189"/>
      <c r="C85" s="192" t="s">
        <v>211</v>
      </c>
      <c r="D85" s="191">
        <f>D72</f>
        <v>2360.96</v>
      </c>
    </row>
    <row r="86" ht="16.5" spans="1:4">
      <c r="A86" s="189"/>
      <c r="B86" s="189"/>
      <c r="C86" s="190" t="s">
        <v>212</v>
      </c>
      <c r="D86" s="191">
        <f>D82</f>
        <v>163.82</v>
      </c>
    </row>
    <row r="87" ht="16.5" spans="1:4">
      <c r="A87" s="189"/>
      <c r="B87" s="189"/>
      <c r="C87" s="192" t="s">
        <v>204</v>
      </c>
      <c r="D87" s="193">
        <f>TRUNC((SUM(D84:D86)),2)</f>
        <v>5153.78</v>
      </c>
    </row>
    <row r="88" ht="15.75" spans="1:4">
      <c r="A88" s="177"/>
      <c r="D88" s="185"/>
    </row>
    <row r="89" spans="1:4">
      <c r="A89" s="207" t="s">
        <v>127</v>
      </c>
      <c r="B89" s="207"/>
      <c r="C89" s="207"/>
      <c r="D89" s="207"/>
    </row>
    <row r="90" spans="1:4">
      <c r="A90" s="176" t="s">
        <v>128</v>
      </c>
      <c r="B90" s="176"/>
      <c r="C90" s="176"/>
      <c r="D90" s="176"/>
    </row>
    <row r="91" spans="1:4">
      <c r="A91" s="177" t="s">
        <v>129</v>
      </c>
      <c r="B91" s="182" t="s">
        <v>130</v>
      </c>
      <c r="C91" s="177" t="s">
        <v>38</v>
      </c>
      <c r="D91" s="177" t="s">
        <v>19</v>
      </c>
    </row>
    <row r="92" spans="1:4">
      <c r="A92" s="177" t="s">
        <v>42</v>
      </c>
      <c r="B92" t="s">
        <v>213</v>
      </c>
      <c r="C92" s="201">
        <f>(((1+1/3)/12)/12)+((1/12)/12)</f>
        <v>0.0162037037037037</v>
      </c>
      <c r="D92" s="185">
        <f>TRUNC(($D$87*C92),2)</f>
        <v>83.51</v>
      </c>
    </row>
    <row r="93" spans="1:4">
      <c r="A93" s="177" t="s">
        <v>45</v>
      </c>
      <c r="B93" t="s">
        <v>133</v>
      </c>
      <c r="C93" s="195">
        <f>((2/30)/12)</f>
        <v>0.00555555555555556</v>
      </c>
      <c r="D93" s="198">
        <f t="shared" ref="D92:D96" si="1">TRUNC(($D$87*C93),2)</f>
        <v>28.63</v>
      </c>
    </row>
    <row r="94" spans="1:4">
      <c r="A94" s="177" t="s">
        <v>48</v>
      </c>
      <c r="B94" t="s">
        <v>134</v>
      </c>
      <c r="C94" s="195">
        <f>((5/30)/12)*0.02</f>
        <v>0.000277777777777778</v>
      </c>
      <c r="D94" s="198">
        <f t="shared" si="1"/>
        <v>1.43</v>
      </c>
    </row>
    <row r="95" spans="1:4">
      <c r="A95" s="196" t="s">
        <v>50</v>
      </c>
      <c r="B95" s="203" t="s">
        <v>135</v>
      </c>
      <c r="C95" s="204">
        <f>((15/30)/12)*0.08</f>
        <v>0.00333333333333333</v>
      </c>
      <c r="D95" s="198">
        <f t="shared" si="1"/>
        <v>17.17</v>
      </c>
    </row>
    <row r="96" spans="1:4">
      <c r="A96" s="177" t="s">
        <v>53</v>
      </c>
      <c r="B96" t="s">
        <v>136</v>
      </c>
      <c r="C96" s="195">
        <f>((1+1/3)/12)*0.03*((4/12))</f>
        <v>0.00111111111111111</v>
      </c>
      <c r="D96" s="198">
        <f t="shared" si="1"/>
        <v>5.72</v>
      </c>
    </row>
    <row r="97" spans="1:4">
      <c r="A97" s="177" t="s">
        <v>55</v>
      </c>
      <c r="B97" s="203" t="s">
        <v>214</v>
      </c>
      <c r="C97" s="208">
        <v>0</v>
      </c>
      <c r="D97" s="198">
        <f>TRUNC($D$87*C97)</f>
        <v>0</v>
      </c>
    </row>
    <row r="98" spans="1:4">
      <c r="A98" s="177" t="s">
        <v>58</v>
      </c>
      <c r="C98" s="201">
        <f>SUM(C92:C97)</f>
        <v>0.0264814814814815</v>
      </c>
      <c r="D98" s="185">
        <f>TRUNC((SUM(D92:D97)),2)</f>
        <v>136.46</v>
      </c>
    </row>
    <row r="99" spans="1:4">
      <c r="A99" s="177"/>
      <c r="C99" s="177"/>
      <c r="D99" s="185"/>
    </row>
    <row r="100" spans="1:4">
      <c r="A100" s="176" t="s">
        <v>144</v>
      </c>
      <c r="B100" s="176"/>
      <c r="C100" s="176"/>
      <c r="D100" s="176"/>
    </row>
    <row r="101" spans="1:4">
      <c r="A101" s="177" t="s">
        <v>145</v>
      </c>
      <c r="B101" s="182" t="s">
        <v>146</v>
      </c>
      <c r="C101" s="177" t="s">
        <v>18</v>
      </c>
      <c r="D101" s="177" t="s">
        <v>19</v>
      </c>
    </row>
    <row r="102" ht="105" spans="1:4">
      <c r="A102" s="196" t="s">
        <v>42</v>
      </c>
      <c r="B102" s="209" t="s">
        <v>147</v>
      </c>
      <c r="C102" s="210" t="s">
        <v>215</v>
      </c>
      <c r="D102" s="277" t="s">
        <v>216</v>
      </c>
    </row>
    <row r="103" spans="1:4">
      <c r="A103" s="177" t="s">
        <v>58</v>
      </c>
      <c r="C103" s="212"/>
      <c r="D103" s="278" t="str">
        <f>D102</f>
        <v>*=TRUNCAR(($D$86/220)*(1*(365/12))/2)</v>
      </c>
    </row>
    <row r="105" spans="1:4">
      <c r="A105" s="176" t="s">
        <v>148</v>
      </c>
      <c r="B105" s="176"/>
      <c r="C105" s="176"/>
      <c r="D105" s="176"/>
    </row>
    <row r="106" spans="1:4">
      <c r="A106" s="177" t="s">
        <v>149</v>
      </c>
      <c r="B106" s="182" t="s">
        <v>150</v>
      </c>
      <c r="C106" s="177" t="s">
        <v>18</v>
      </c>
      <c r="D106" s="177" t="s">
        <v>19</v>
      </c>
    </row>
    <row r="107" spans="1:4">
      <c r="A107" s="177" t="s">
        <v>129</v>
      </c>
      <c r="B107" t="s">
        <v>130</v>
      </c>
      <c r="D107" s="179">
        <f>D98</f>
        <v>136.46</v>
      </c>
    </row>
    <row r="108" spans="1:4">
      <c r="A108" s="177" t="s">
        <v>145</v>
      </c>
      <c r="B108" t="s">
        <v>151</v>
      </c>
      <c r="C108" s="182"/>
      <c r="D108" s="214" t="str">
        <f>Submódulo4.260_81[[#Totals],[Valor]]</f>
        <v>*=TRUNCAR(($D$86/220)*(1*(365/12))/2)</v>
      </c>
    </row>
    <row r="109" ht="75" spans="1:4">
      <c r="A109" s="196" t="s">
        <v>58</v>
      </c>
      <c r="B109" s="197"/>
      <c r="C109" s="210" t="s">
        <v>217</v>
      </c>
      <c r="D109" s="215">
        <f>TRUNC((SUM(D107:D108)),2)</f>
        <v>136.46</v>
      </c>
    </row>
    <row r="111" spans="1:4">
      <c r="A111" s="160" t="s">
        <v>152</v>
      </c>
      <c r="B111" s="160"/>
      <c r="C111" s="160"/>
      <c r="D111" s="160"/>
    </row>
    <row r="112" spans="1:4">
      <c r="A112" s="177" t="s">
        <v>153</v>
      </c>
      <c r="B112" s="182" t="s">
        <v>154</v>
      </c>
      <c r="C112" s="177" t="s">
        <v>18</v>
      </c>
      <c r="D112" s="177" t="s">
        <v>19</v>
      </c>
    </row>
    <row r="113" spans="1:4">
      <c r="A113" s="177" t="s">
        <v>42</v>
      </c>
      <c r="B113" t="s">
        <v>218</v>
      </c>
      <c r="D113" s="216">
        <f>Uniformes!G24</f>
        <v>72.13</v>
      </c>
    </row>
    <row r="114" spans="1:4">
      <c r="A114" s="177" t="s">
        <v>45</v>
      </c>
      <c r="B114" t="s">
        <v>219</v>
      </c>
      <c r="D114" s="216">
        <f>EPC!E21</f>
        <v>35.9</v>
      </c>
    </row>
    <row r="115" spans="1:4">
      <c r="A115" s="177" t="s">
        <v>48</v>
      </c>
      <c r="B115" t="s">
        <v>156</v>
      </c>
      <c r="D115" s="179">
        <v>0</v>
      </c>
    </row>
    <row r="116" spans="1:4">
      <c r="A116" s="177" t="s">
        <v>50</v>
      </c>
      <c r="B116" t="s">
        <v>157</v>
      </c>
      <c r="D116" s="179">
        <v>0</v>
      </c>
    </row>
    <row r="117" spans="1:4">
      <c r="A117" s="177" t="s">
        <v>53</v>
      </c>
      <c r="B117" t="s">
        <v>220</v>
      </c>
      <c r="D117" s="179">
        <f>H116</f>
        <v>0</v>
      </c>
    </row>
    <row r="118" spans="1:4">
      <c r="A118" s="177" t="s">
        <v>58</v>
      </c>
      <c r="D118" s="185">
        <f>TRUNC(SUM(D113:D117),2)</f>
        <v>108.03</v>
      </c>
    </row>
    <row r="119" ht="15.75"/>
    <row r="120" ht="16.5" spans="1:4">
      <c r="A120" s="189" t="s">
        <v>221</v>
      </c>
      <c r="B120" s="189"/>
      <c r="C120" s="190" t="s">
        <v>202</v>
      </c>
      <c r="D120" s="191">
        <f>D31</f>
        <v>2629</v>
      </c>
    </row>
    <row r="121" ht="16.5" spans="1:4">
      <c r="A121" s="189"/>
      <c r="B121" s="189"/>
      <c r="C121" s="192" t="s">
        <v>211</v>
      </c>
      <c r="D121" s="191">
        <f>D72</f>
        <v>2360.96</v>
      </c>
    </row>
    <row r="122" ht="16.5" spans="1:4">
      <c r="A122" s="189"/>
      <c r="B122" s="189"/>
      <c r="C122" s="190" t="s">
        <v>212</v>
      </c>
      <c r="D122" s="191">
        <f>D82</f>
        <v>163.82</v>
      </c>
    </row>
    <row r="123" ht="16.5" spans="1:4">
      <c r="A123" s="189"/>
      <c r="B123" s="189"/>
      <c r="C123" s="192" t="s">
        <v>222</v>
      </c>
      <c r="D123" s="191">
        <f>D109</f>
        <v>136.46</v>
      </c>
    </row>
    <row r="124" ht="16.5" spans="1:4">
      <c r="A124" s="189"/>
      <c r="B124" s="189"/>
      <c r="C124" s="190" t="s">
        <v>223</v>
      </c>
      <c r="D124" s="191">
        <f>D118</f>
        <v>108.03</v>
      </c>
    </row>
    <row r="125" ht="16.5" spans="1:4">
      <c r="A125" s="189"/>
      <c r="B125" s="189"/>
      <c r="C125" s="192" t="s">
        <v>204</v>
      </c>
      <c r="D125" s="193">
        <f>TRUNC((SUM(D120:D124)),2)</f>
        <v>5398.27</v>
      </c>
    </row>
    <row r="126" ht="15.75"/>
    <row r="127" spans="1:4">
      <c r="A127" s="160" t="s">
        <v>164</v>
      </c>
      <c r="B127" s="160"/>
      <c r="C127" s="160"/>
      <c r="D127" s="160"/>
    </row>
    <row r="128" ht="15.75" spans="1:7">
      <c r="A128" s="177" t="s">
        <v>165</v>
      </c>
      <c r="B128" t="s">
        <v>166</v>
      </c>
      <c r="C128" s="177" t="s">
        <v>38</v>
      </c>
      <c r="D128" s="177" t="s">
        <v>19</v>
      </c>
      <c r="F128" s="217" t="s">
        <v>224</v>
      </c>
      <c r="G128" s="217"/>
    </row>
    <row r="129" ht="15.75" spans="1:7">
      <c r="A129" s="177" t="s">
        <v>42</v>
      </c>
      <c r="B129" t="s">
        <v>167</v>
      </c>
      <c r="C129" s="218">
        <v>0.044</v>
      </c>
      <c r="D129" s="216">
        <f>TRUNC(($D$125*C129),2)</f>
        <v>237.52</v>
      </c>
      <c r="F129" s="219" t="s">
        <v>225</v>
      </c>
      <c r="G129" s="204">
        <f>C131</f>
        <v>0.0865</v>
      </c>
    </row>
    <row r="130" ht="15.75" spans="1:7">
      <c r="A130" s="177" t="s">
        <v>45</v>
      </c>
      <c r="B130" t="s">
        <v>59</v>
      </c>
      <c r="C130" s="218">
        <v>0.0413</v>
      </c>
      <c r="D130" s="216">
        <f>TRUNC((C130*(D125+D129)),2)</f>
        <v>232.75</v>
      </c>
      <c r="F130" s="220" t="s">
        <v>226</v>
      </c>
      <c r="G130" s="291">
        <f>TRUNC(SUM(D125,D129,D130),2)</f>
        <v>5868.54</v>
      </c>
    </row>
    <row r="131" ht="15.75" spans="1:7">
      <c r="A131" s="177" t="s">
        <v>48</v>
      </c>
      <c r="B131" t="s">
        <v>168</v>
      </c>
      <c r="C131" s="218">
        <f>SUM(C132:C134)</f>
        <v>0.0865</v>
      </c>
      <c r="D131" s="216">
        <f>TRUNC((SUM(D132:D134)),2)</f>
        <v>555.68</v>
      </c>
      <c r="F131" s="219" t="s">
        <v>227</v>
      </c>
      <c r="G131" s="222">
        <f>(100-8.65)/100</f>
        <v>0.9135</v>
      </c>
    </row>
    <row r="132" ht="15.75" spans="1:7">
      <c r="A132" s="177"/>
      <c r="B132" t="s">
        <v>228</v>
      </c>
      <c r="C132" s="195">
        <v>0.0065</v>
      </c>
      <c r="D132" s="179">
        <f>TRUNC(($G$132*C132),2)</f>
        <v>41.75</v>
      </c>
      <c r="F132" s="220" t="s">
        <v>224</v>
      </c>
      <c r="G132" s="291">
        <f>TRUNC((G130/G131),2)</f>
        <v>6424.23</v>
      </c>
    </row>
    <row r="133" ht="15.75" spans="1:4">
      <c r="A133" s="177"/>
      <c r="B133" t="s">
        <v>229</v>
      </c>
      <c r="C133" s="195">
        <v>0.03</v>
      </c>
      <c r="D133" s="179">
        <f>TRUNC(($G$132*C133),2)</f>
        <v>192.72</v>
      </c>
    </row>
    <row r="134" spans="1:4">
      <c r="A134" s="177"/>
      <c r="B134" t="s">
        <v>230</v>
      </c>
      <c r="C134" s="195">
        <v>0.05</v>
      </c>
      <c r="D134" s="179">
        <f t="shared" ref="D132:D134" si="2">TRUNC(($G$132*C134),2)</f>
        <v>321.21</v>
      </c>
    </row>
    <row r="135" spans="1:4">
      <c r="A135" s="177" t="s">
        <v>58</v>
      </c>
      <c r="C135" s="223"/>
      <c r="D135" s="185">
        <f>TRUNC(SUM(D129:D131),2)</f>
        <v>1025.95</v>
      </c>
    </row>
    <row r="136" spans="1:4">
      <c r="A136" s="177"/>
      <c r="C136" s="223"/>
      <c r="D136" s="185"/>
    </row>
    <row r="138" spans="1:4">
      <c r="A138" s="160" t="s">
        <v>172</v>
      </c>
      <c r="B138" s="160"/>
      <c r="C138" s="160"/>
      <c r="D138" s="160"/>
    </row>
    <row r="139" spans="1:4">
      <c r="A139" s="177" t="s">
        <v>16</v>
      </c>
      <c r="B139" s="177" t="s">
        <v>173</v>
      </c>
      <c r="C139" s="177" t="s">
        <v>102</v>
      </c>
      <c r="D139" s="177" t="s">
        <v>19</v>
      </c>
    </row>
    <row r="140" spans="1:4">
      <c r="A140" s="177" t="s">
        <v>42</v>
      </c>
      <c r="B140" t="s">
        <v>36</v>
      </c>
      <c r="D140" s="185">
        <f>D31</f>
        <v>2629</v>
      </c>
    </row>
    <row r="141" spans="1:4">
      <c r="A141" s="177" t="s">
        <v>45</v>
      </c>
      <c r="B141" t="s">
        <v>61</v>
      </c>
      <c r="D141" s="185">
        <f>D72</f>
        <v>2360.96</v>
      </c>
    </row>
    <row r="142" spans="1:4">
      <c r="A142" s="177" t="s">
        <v>48</v>
      </c>
      <c r="B142" t="s">
        <v>108</v>
      </c>
      <c r="D142" s="185">
        <f>D82</f>
        <v>163.82</v>
      </c>
    </row>
    <row r="143" spans="1:4">
      <c r="A143" s="177" t="s">
        <v>50</v>
      </c>
      <c r="B143" t="s">
        <v>174</v>
      </c>
      <c r="D143" s="185">
        <f>D109</f>
        <v>136.46</v>
      </c>
    </row>
    <row r="144" spans="1:4">
      <c r="A144" s="177" t="s">
        <v>53</v>
      </c>
      <c r="B144" t="s">
        <v>152</v>
      </c>
      <c r="D144" s="185">
        <f>D118</f>
        <v>108.03</v>
      </c>
    </row>
    <row r="145" spans="2:4">
      <c r="B145" s="224" t="s">
        <v>175</v>
      </c>
      <c r="D145" s="185">
        <f>TRUNC(SUM(D140:D144),2)</f>
        <v>5398.27</v>
      </c>
    </row>
    <row r="146" spans="1:4">
      <c r="A146" s="177" t="s">
        <v>55</v>
      </c>
      <c r="B146" t="s">
        <v>164</v>
      </c>
      <c r="D146" s="185">
        <f>D135</f>
        <v>1025.95</v>
      </c>
    </row>
    <row r="147" spans="1:4">
      <c r="A147" s="225"/>
      <c r="B147" s="226" t="s">
        <v>231</v>
      </c>
      <c r="C147" s="225"/>
      <c r="D147" s="227">
        <f>TRUNC((SUM(D140:D144)+D146),2)</f>
        <v>6424.22</v>
      </c>
    </row>
    <row r="149" spans="1:1">
      <c r="A149" t="s">
        <v>238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7"/>
  <sheetViews>
    <sheetView topLeftCell="A121" workbookViewId="0">
      <selection activeCell="A2" sqref="A2:D147"/>
    </sheetView>
  </sheetViews>
  <sheetFormatPr defaultColWidth="9.14285714285714" defaultRowHeight="15" outlineLevelCol="6"/>
  <cols>
    <col min="1" max="1" width="10.8571428571429" customWidth="1"/>
    <col min="2" max="2" width="55.1428571428571" customWidth="1"/>
    <col min="3" max="3" width="29.7142857142857" customWidth="1"/>
    <col min="4" max="4" width="33.8571428571429" customWidth="1"/>
    <col min="6" max="6" width="22.8571428571429" customWidth="1"/>
    <col min="7" max="7" width="15.552380952381" customWidth="1"/>
    <col min="9" max="9" width="11.4285714285714"/>
  </cols>
  <sheetData>
    <row r="1" spans="1:7">
      <c r="A1" s="89"/>
      <c r="B1" s="89"/>
      <c r="C1" s="89"/>
      <c r="D1" s="89"/>
      <c r="E1" s="89"/>
      <c r="F1" s="89"/>
      <c r="G1" s="89"/>
    </row>
    <row r="2" ht="19.5" spans="1:7">
      <c r="A2" s="228" t="s">
        <v>177</v>
      </c>
      <c r="B2" s="228"/>
      <c r="C2" s="228"/>
      <c r="D2" s="228"/>
      <c r="E2" s="89"/>
      <c r="F2" s="89"/>
      <c r="G2" s="89"/>
    </row>
    <row r="3" ht="15.75" spans="1:7">
      <c r="A3" s="229" t="s">
        <v>239</v>
      </c>
      <c r="B3" s="229"/>
      <c r="C3" s="229"/>
      <c r="D3" s="229"/>
      <c r="E3" s="89"/>
      <c r="F3" s="89"/>
      <c r="G3" s="89"/>
    </row>
    <row r="4" spans="1:7">
      <c r="A4" s="230" t="s">
        <v>179</v>
      </c>
      <c r="B4" s="231" t="s">
        <v>180</v>
      </c>
      <c r="C4" s="232"/>
      <c r="D4" s="232"/>
      <c r="E4" s="89"/>
      <c r="F4" s="89"/>
      <c r="G4" s="89"/>
    </row>
    <row r="5" spans="1:7">
      <c r="A5" s="233"/>
      <c r="B5" s="234"/>
      <c r="C5" s="234"/>
      <c r="D5" s="234"/>
      <c r="E5" s="89"/>
      <c r="F5" s="89"/>
      <c r="G5" s="89"/>
    </row>
    <row r="6" ht="15.75" spans="1:7">
      <c r="A6" s="235" t="s">
        <v>181</v>
      </c>
      <c r="B6" s="235"/>
      <c r="C6" s="235"/>
      <c r="D6" s="235"/>
      <c r="E6" s="89"/>
      <c r="F6" s="89"/>
      <c r="G6" s="89"/>
    </row>
    <row r="7" ht="15.75" spans="1:7">
      <c r="A7" s="236" t="s">
        <v>42</v>
      </c>
      <c r="B7" s="237" t="s">
        <v>182</v>
      </c>
      <c r="C7" s="238" t="s">
        <v>183</v>
      </c>
      <c r="D7" s="238"/>
      <c r="E7" s="89"/>
      <c r="F7" s="89"/>
      <c r="G7" s="89"/>
    </row>
    <row r="8" spans="1:7">
      <c r="A8" s="239" t="s">
        <v>45</v>
      </c>
      <c r="B8" s="240" t="s">
        <v>184</v>
      </c>
      <c r="C8" s="241" t="s">
        <v>185</v>
      </c>
      <c r="D8" s="241"/>
      <c r="E8" s="89"/>
      <c r="F8" s="89"/>
      <c r="G8" s="89"/>
    </row>
    <row r="9" spans="1:7">
      <c r="A9" s="242" t="s">
        <v>48</v>
      </c>
      <c r="B9" s="243" t="s">
        <v>186</v>
      </c>
      <c r="C9" s="241" t="s">
        <v>240</v>
      </c>
      <c r="D9" s="241"/>
      <c r="E9" s="89"/>
      <c r="F9" s="89"/>
      <c r="G9" s="89"/>
    </row>
    <row r="10" spans="1:7">
      <c r="A10" s="239" t="s">
        <v>53</v>
      </c>
      <c r="B10" s="240" t="s">
        <v>188</v>
      </c>
      <c r="C10" s="241" t="s">
        <v>189</v>
      </c>
      <c r="D10" s="241"/>
      <c r="E10" s="89"/>
      <c r="F10" s="89"/>
      <c r="G10" s="89"/>
    </row>
    <row r="11" ht="15.75" spans="1:7">
      <c r="A11" s="244" t="s">
        <v>190</v>
      </c>
      <c r="B11" s="244"/>
      <c r="C11" s="244"/>
      <c r="D11" s="244"/>
      <c r="E11" s="89"/>
      <c r="F11" s="89"/>
      <c r="G11" s="89"/>
    </row>
    <row r="12" ht="16.5" spans="1:7">
      <c r="A12" s="245" t="s">
        <v>191</v>
      </c>
      <c r="B12" s="245"/>
      <c r="C12" s="244" t="s">
        <v>192</v>
      </c>
      <c r="D12" s="246" t="s">
        <v>193</v>
      </c>
      <c r="E12" s="89"/>
      <c r="F12" s="89"/>
      <c r="G12" s="89"/>
    </row>
    <row r="13" ht="15.75" spans="1:7">
      <c r="A13" s="247" t="s">
        <v>241</v>
      </c>
      <c r="B13" s="247"/>
      <c r="C13" s="241" t="s">
        <v>235</v>
      </c>
      <c r="D13" s="248">
        <f>[1]RESUMO!D8</f>
        <v>1</v>
      </c>
      <c r="E13" s="89"/>
      <c r="F13" s="89"/>
      <c r="G13" s="89"/>
    </row>
    <row r="14" spans="1:7">
      <c r="A14" s="249"/>
      <c r="B14" s="249"/>
      <c r="C14" s="241"/>
      <c r="D14" s="250"/>
      <c r="E14" s="89"/>
      <c r="F14" s="89"/>
      <c r="G14" s="89"/>
    </row>
    <row r="15" ht="15.75" spans="1:7">
      <c r="A15" s="244" t="s">
        <v>14</v>
      </c>
      <c r="B15" s="244"/>
      <c r="C15" s="244"/>
      <c r="D15" s="244"/>
      <c r="E15" s="89"/>
      <c r="F15" s="251"/>
      <c r="G15" s="251"/>
    </row>
    <row r="16" ht="15.75" spans="1:7">
      <c r="A16" s="252" t="s">
        <v>16</v>
      </c>
      <c r="B16" s="89" t="s">
        <v>17</v>
      </c>
      <c r="C16" s="252" t="s">
        <v>18</v>
      </c>
      <c r="D16" s="252" t="s">
        <v>19</v>
      </c>
      <c r="E16" s="89"/>
      <c r="F16" s="89"/>
      <c r="G16" s="89"/>
    </row>
    <row r="17" spans="1:7">
      <c r="A17" s="252">
        <v>1</v>
      </c>
      <c r="B17" s="89" t="s">
        <v>20</v>
      </c>
      <c r="C17" s="253" t="s">
        <v>102</v>
      </c>
      <c r="D17" s="253" t="str">
        <f>A13</f>
        <v>Auxiliar de Manutenção Predial</v>
      </c>
      <c r="E17" s="89"/>
      <c r="F17" s="89"/>
      <c r="G17" s="89"/>
    </row>
    <row r="18" spans="1:7">
      <c r="A18" s="252">
        <v>2</v>
      </c>
      <c r="B18" s="89" t="s">
        <v>23</v>
      </c>
      <c r="C18" s="253" t="s">
        <v>196</v>
      </c>
      <c r="D18" s="253" t="s">
        <v>242</v>
      </c>
      <c r="E18" s="89"/>
      <c r="F18" s="89"/>
      <c r="G18" s="89"/>
    </row>
    <row r="19" spans="1:7">
      <c r="A19" s="252">
        <v>3</v>
      </c>
      <c r="B19" s="89" t="s">
        <v>26</v>
      </c>
      <c r="C19" s="253" t="str">
        <f>C9</f>
        <v>CCT PB 000047/2021</v>
      </c>
      <c r="D19" s="216">
        <v>1640</v>
      </c>
      <c r="E19" s="89"/>
      <c r="F19" s="89"/>
      <c r="G19" s="89"/>
    </row>
    <row r="20" spans="1:7">
      <c r="A20" s="252">
        <v>4</v>
      </c>
      <c r="B20" s="89" t="s">
        <v>29</v>
      </c>
      <c r="C20" s="253" t="str">
        <f>C9</f>
        <v>CCT PB 000047/2021</v>
      </c>
      <c r="D20" s="253" t="s">
        <v>198</v>
      </c>
      <c r="E20" s="89"/>
      <c r="F20" s="89"/>
      <c r="G20" s="89"/>
    </row>
    <row r="21" spans="1:7">
      <c r="A21" s="252">
        <v>5</v>
      </c>
      <c r="B21" s="89" t="s">
        <v>33</v>
      </c>
      <c r="C21" s="253" t="str">
        <f>C9</f>
        <v>CCT PB 000047/2021</v>
      </c>
      <c r="D21" s="254" t="s">
        <v>199</v>
      </c>
      <c r="E21" s="89"/>
      <c r="F21" s="89"/>
      <c r="G21" s="89"/>
    </row>
    <row r="22" spans="1:7">
      <c r="A22" s="89"/>
      <c r="B22" s="89"/>
      <c r="C22" s="89"/>
      <c r="D22" s="89"/>
      <c r="E22" s="89"/>
      <c r="F22" s="251"/>
      <c r="G22" s="251"/>
    </row>
    <row r="23" spans="1:7">
      <c r="A23" s="235" t="s">
        <v>36</v>
      </c>
      <c r="B23" s="235"/>
      <c r="C23" s="235"/>
      <c r="D23" s="235"/>
      <c r="E23" s="89"/>
      <c r="F23" s="89"/>
      <c r="G23" s="89"/>
    </row>
    <row r="24" spans="1:7">
      <c r="A24" s="252" t="s">
        <v>39</v>
      </c>
      <c r="B24" s="89" t="s">
        <v>40</v>
      </c>
      <c r="C24" s="252" t="s">
        <v>18</v>
      </c>
      <c r="D24" s="252" t="s">
        <v>19</v>
      </c>
      <c r="E24" s="89"/>
      <c r="F24" s="89"/>
      <c r="G24" s="255"/>
    </row>
    <row r="25" spans="1:7">
      <c r="A25" s="252" t="s">
        <v>42</v>
      </c>
      <c r="B25" s="89" t="s">
        <v>43</v>
      </c>
      <c r="C25" s="253" t="s">
        <v>243</v>
      </c>
      <c r="D25" s="216">
        <f>D19</f>
        <v>1640</v>
      </c>
      <c r="E25" s="89"/>
      <c r="F25" s="89"/>
      <c r="G25" s="255"/>
    </row>
    <row r="26" spans="1:7">
      <c r="A26" s="252" t="s">
        <v>45</v>
      </c>
      <c r="B26" s="89" t="s">
        <v>46</v>
      </c>
      <c r="C26" s="253"/>
      <c r="D26" s="216">
        <v>0</v>
      </c>
      <c r="E26" s="89"/>
      <c r="F26" s="89"/>
      <c r="G26" s="255"/>
    </row>
    <row r="27" spans="1:7">
      <c r="A27" s="252" t="s">
        <v>48</v>
      </c>
      <c r="B27" s="89" t="s">
        <v>49</v>
      </c>
      <c r="C27" s="253"/>
      <c r="D27" s="216">
        <v>0</v>
      </c>
      <c r="E27" s="89"/>
      <c r="F27" s="89"/>
      <c r="G27" s="89"/>
    </row>
    <row r="28" spans="1:7">
      <c r="A28" s="252" t="s">
        <v>50</v>
      </c>
      <c r="B28" s="89" t="s">
        <v>51</v>
      </c>
      <c r="C28" s="253"/>
      <c r="D28" s="216">
        <v>0</v>
      </c>
      <c r="E28" s="89"/>
      <c r="F28" s="89"/>
      <c r="G28" s="89"/>
    </row>
    <row r="29" spans="1:7">
      <c r="A29" s="252" t="s">
        <v>53</v>
      </c>
      <c r="B29" s="89" t="s">
        <v>54</v>
      </c>
      <c r="C29" s="253"/>
      <c r="D29" s="216">
        <v>0</v>
      </c>
      <c r="E29" s="89"/>
      <c r="F29" s="89"/>
      <c r="G29" s="89"/>
    </row>
    <row r="30" spans="1:7">
      <c r="A30" s="252" t="s">
        <v>55</v>
      </c>
      <c r="B30" s="89" t="s">
        <v>56</v>
      </c>
      <c r="C30" s="253"/>
      <c r="D30" s="216">
        <v>0</v>
      </c>
      <c r="E30" s="89"/>
      <c r="F30" s="89"/>
      <c r="G30" s="89"/>
    </row>
    <row r="31" spans="1:7">
      <c r="A31" s="252" t="s">
        <v>58</v>
      </c>
      <c r="B31" s="89"/>
      <c r="C31" s="252"/>
      <c r="D31" s="256">
        <f>TRUNC(SUM(D25:D30),2)</f>
        <v>1640</v>
      </c>
      <c r="E31" s="89"/>
      <c r="F31" s="251"/>
      <c r="G31" s="251"/>
    </row>
    <row r="32" spans="1:7">
      <c r="A32" s="89"/>
      <c r="B32" s="89"/>
      <c r="C32" s="89"/>
      <c r="D32" s="89"/>
      <c r="E32" s="89"/>
      <c r="F32" s="89"/>
      <c r="G32" s="89"/>
    </row>
    <row r="33" spans="1:7">
      <c r="A33" s="257" t="s">
        <v>61</v>
      </c>
      <c r="B33" s="257"/>
      <c r="C33" s="257"/>
      <c r="D33" s="257"/>
      <c r="E33" s="89"/>
      <c r="F33" s="89"/>
      <c r="G33" s="255"/>
    </row>
    <row r="34" spans="1:7">
      <c r="A34" s="89"/>
      <c r="B34" s="89"/>
      <c r="C34" s="89"/>
      <c r="D34" s="89"/>
      <c r="E34" s="89"/>
      <c r="F34" s="89"/>
      <c r="G34" s="89"/>
    </row>
    <row r="35" spans="1:7">
      <c r="A35" s="251" t="s">
        <v>63</v>
      </c>
      <c r="B35" s="251"/>
      <c r="C35" s="251"/>
      <c r="D35" s="251"/>
      <c r="E35" s="89"/>
      <c r="F35" s="89"/>
      <c r="G35" s="89"/>
    </row>
    <row r="36" spans="1:7">
      <c r="A36" s="252" t="s">
        <v>65</v>
      </c>
      <c r="B36" s="89" t="s">
        <v>66</v>
      </c>
      <c r="C36" s="252" t="s">
        <v>38</v>
      </c>
      <c r="D36" s="252" t="s">
        <v>19</v>
      </c>
      <c r="E36" s="89"/>
      <c r="F36" s="89"/>
      <c r="G36" s="89"/>
    </row>
    <row r="37" spans="1:7">
      <c r="A37" s="252" t="s">
        <v>42</v>
      </c>
      <c r="B37" s="89" t="s">
        <v>67</v>
      </c>
      <c r="C37" s="258">
        <f>(1/12)</f>
        <v>0.0833333333333333</v>
      </c>
      <c r="D37" s="256">
        <f>TRUNC($D$31*C37,2)</f>
        <v>136.66</v>
      </c>
      <c r="E37" s="89"/>
      <c r="F37" s="259"/>
      <c r="G37" s="259"/>
    </row>
    <row r="38" spans="1:7">
      <c r="A38" s="252" t="s">
        <v>45</v>
      </c>
      <c r="B38" s="89" t="s">
        <v>68</v>
      </c>
      <c r="C38" s="258">
        <f>(((1+1/3)/12))</f>
        <v>0.111111111111111</v>
      </c>
      <c r="D38" s="256">
        <f>TRUNC($D$31*C38,2)</f>
        <v>182.22</v>
      </c>
      <c r="E38" s="89"/>
      <c r="F38" s="259"/>
      <c r="G38" s="259"/>
    </row>
    <row r="39" spans="1:7">
      <c r="A39" s="252" t="s">
        <v>58</v>
      </c>
      <c r="B39" s="89"/>
      <c r="C39" s="89"/>
      <c r="D39" s="256">
        <f>TRUNC((SUM(D37:D38)),2)</f>
        <v>318.88</v>
      </c>
      <c r="E39" s="89"/>
      <c r="F39" s="259"/>
      <c r="G39" s="259"/>
    </row>
    <row r="40" ht="15.75" spans="1:7">
      <c r="A40" s="89"/>
      <c r="B40" s="89"/>
      <c r="C40" s="89"/>
      <c r="D40" s="256"/>
      <c r="E40" s="89"/>
      <c r="F40" s="259"/>
      <c r="G40" s="259"/>
    </row>
    <row r="41" ht="16.5" spans="1:7">
      <c r="A41" s="260" t="s">
        <v>201</v>
      </c>
      <c r="B41" s="260"/>
      <c r="C41" s="261" t="s">
        <v>202</v>
      </c>
      <c r="D41" s="262">
        <f>D31</f>
        <v>1640</v>
      </c>
      <c r="E41" s="89"/>
      <c r="F41" s="259"/>
      <c r="G41" s="259"/>
    </row>
    <row r="42" ht="16.5" spans="1:7">
      <c r="A42" s="260"/>
      <c r="B42" s="260"/>
      <c r="C42" s="263" t="s">
        <v>203</v>
      </c>
      <c r="D42" s="262">
        <f>D39</f>
        <v>318.88</v>
      </c>
      <c r="E42" s="89"/>
      <c r="F42" s="259"/>
      <c r="G42" s="259"/>
    </row>
    <row r="43" ht="16.5" spans="1:7">
      <c r="A43" s="260"/>
      <c r="B43" s="260"/>
      <c r="C43" s="261" t="s">
        <v>204</v>
      </c>
      <c r="D43" s="264">
        <f>TRUNC((SUM(D41:D42)),2)</f>
        <v>1958.88</v>
      </c>
      <c r="E43" s="89"/>
      <c r="F43" s="259"/>
      <c r="G43" s="259"/>
    </row>
    <row r="44" ht="15.75" spans="1:7">
      <c r="A44" s="252"/>
      <c r="B44" s="89"/>
      <c r="C44" s="265"/>
      <c r="D44" s="256"/>
      <c r="E44" s="89"/>
      <c r="F44" s="259"/>
      <c r="G44" s="259"/>
    </row>
    <row r="45" spans="1:7">
      <c r="A45" s="251" t="s">
        <v>77</v>
      </c>
      <c r="B45" s="251"/>
      <c r="C45" s="251"/>
      <c r="D45" s="251"/>
      <c r="E45" s="89"/>
      <c r="F45" s="89"/>
      <c r="G45" s="89"/>
    </row>
    <row r="46" spans="1:7">
      <c r="A46" s="252" t="s">
        <v>78</v>
      </c>
      <c r="B46" s="89" t="s">
        <v>79</v>
      </c>
      <c r="C46" s="252" t="s">
        <v>38</v>
      </c>
      <c r="D46" s="252" t="s">
        <v>80</v>
      </c>
      <c r="E46" s="89"/>
      <c r="F46" s="89"/>
      <c r="G46" s="89"/>
    </row>
    <row r="47" spans="1:7">
      <c r="A47" s="252" t="s">
        <v>42</v>
      </c>
      <c r="B47" s="89" t="s">
        <v>81</v>
      </c>
      <c r="C47" s="258">
        <v>0.2</v>
      </c>
      <c r="D47" s="256">
        <f t="shared" ref="D47:D54" si="0">TRUNC(($D$43*C47),2)</f>
        <v>391.77</v>
      </c>
      <c r="E47" s="89"/>
      <c r="F47" s="89"/>
      <c r="G47" s="89"/>
    </row>
    <row r="48" spans="1:7">
      <c r="A48" s="252" t="s">
        <v>45</v>
      </c>
      <c r="B48" s="89" t="s">
        <v>82</v>
      </c>
      <c r="C48" s="258">
        <v>0.025</v>
      </c>
      <c r="D48" s="256">
        <f t="shared" si="0"/>
        <v>48.97</v>
      </c>
      <c r="E48" s="89"/>
      <c r="F48" s="89"/>
      <c r="G48" s="89"/>
    </row>
    <row r="49" spans="1:7">
      <c r="A49" s="252" t="s">
        <v>48</v>
      </c>
      <c r="B49" s="89" t="s">
        <v>205</v>
      </c>
      <c r="C49" s="218">
        <v>0.06</v>
      </c>
      <c r="D49" s="216">
        <f t="shared" si="0"/>
        <v>117.53</v>
      </c>
      <c r="E49" s="89"/>
      <c r="F49" s="89"/>
      <c r="G49" s="89"/>
    </row>
    <row r="50" spans="1:7">
      <c r="A50" s="252" t="s">
        <v>50</v>
      </c>
      <c r="B50" s="89" t="s">
        <v>84</v>
      </c>
      <c r="C50" s="258">
        <v>0.015</v>
      </c>
      <c r="D50" s="256">
        <f t="shared" si="0"/>
        <v>29.38</v>
      </c>
      <c r="E50" s="89"/>
      <c r="F50" s="89"/>
      <c r="G50" s="89"/>
    </row>
    <row r="51" spans="1:7">
      <c r="A51" s="252" t="s">
        <v>53</v>
      </c>
      <c r="B51" s="89" t="s">
        <v>85</v>
      </c>
      <c r="C51" s="258">
        <v>0.01</v>
      </c>
      <c r="D51" s="256">
        <f t="shared" si="0"/>
        <v>19.58</v>
      </c>
      <c r="E51" s="89"/>
      <c r="F51" s="89"/>
      <c r="G51" s="89"/>
    </row>
    <row r="52" spans="1:7">
      <c r="A52" s="252" t="s">
        <v>55</v>
      </c>
      <c r="B52" s="89" t="s">
        <v>86</v>
      </c>
      <c r="C52" s="258">
        <v>0.006</v>
      </c>
      <c r="D52" s="256">
        <f t="shared" si="0"/>
        <v>11.75</v>
      </c>
      <c r="E52" s="89"/>
      <c r="F52" s="89"/>
      <c r="G52" s="89"/>
    </row>
    <row r="53" spans="1:7">
      <c r="A53" s="252" t="s">
        <v>87</v>
      </c>
      <c r="B53" s="89" t="s">
        <v>88</v>
      </c>
      <c r="C53" s="258">
        <v>0.002</v>
      </c>
      <c r="D53" s="256">
        <f t="shared" si="0"/>
        <v>3.91</v>
      </c>
      <c r="E53" s="89"/>
      <c r="F53" s="89"/>
      <c r="G53" s="89"/>
    </row>
    <row r="54" spans="1:7">
      <c r="A54" s="252" t="s">
        <v>89</v>
      </c>
      <c r="B54" s="89" t="s">
        <v>90</v>
      </c>
      <c r="C54" s="258">
        <v>0.08</v>
      </c>
      <c r="D54" s="256">
        <f t="shared" si="0"/>
        <v>156.71</v>
      </c>
      <c r="E54" s="89"/>
      <c r="F54" s="89"/>
      <c r="G54" s="89"/>
    </row>
    <row r="55" spans="1:7">
      <c r="A55" s="252" t="s">
        <v>58</v>
      </c>
      <c r="B55" s="89"/>
      <c r="C55" s="265">
        <f>SUM(C47:C54)</f>
        <v>0.398</v>
      </c>
      <c r="D55" s="256">
        <f>TRUNC((SUM(D47:D54)),2)</f>
        <v>779.6</v>
      </c>
      <c r="E55" s="89"/>
      <c r="F55" s="89"/>
      <c r="G55" s="89"/>
    </row>
    <row r="56" spans="1:7">
      <c r="A56" s="252"/>
      <c r="B56" s="89"/>
      <c r="C56" s="265"/>
      <c r="D56" s="256"/>
      <c r="E56" s="89"/>
      <c r="F56" s="89"/>
      <c r="G56" s="89"/>
    </row>
    <row r="57" spans="1:7">
      <c r="A57" s="251" t="s">
        <v>95</v>
      </c>
      <c r="B57" s="251"/>
      <c r="C57" s="251"/>
      <c r="D57" s="251"/>
      <c r="E57" s="89"/>
      <c r="F57" s="89"/>
      <c r="G57" s="89"/>
    </row>
    <row r="58" spans="1:7">
      <c r="A58" s="252" t="s">
        <v>96</v>
      </c>
      <c r="B58" s="89" t="s">
        <v>97</v>
      </c>
      <c r="C58" s="252" t="s">
        <v>18</v>
      </c>
      <c r="D58" s="252" t="s">
        <v>19</v>
      </c>
      <c r="E58" s="89"/>
      <c r="F58" s="89"/>
      <c r="G58" s="89"/>
    </row>
    <row r="59" spans="1:7">
      <c r="A59" s="252" t="s">
        <v>42</v>
      </c>
      <c r="B59" s="89" t="s">
        <v>98</v>
      </c>
      <c r="C59" s="253"/>
      <c r="D59" s="216">
        <v>0</v>
      </c>
      <c r="E59" s="89"/>
      <c r="F59" s="89"/>
      <c r="G59" s="89"/>
    </row>
    <row r="60" spans="1:7">
      <c r="A60" s="252" t="s">
        <v>45</v>
      </c>
      <c r="B60" s="89" t="s">
        <v>99</v>
      </c>
      <c r="C60" s="253" t="str">
        <f>C9</f>
        <v>CCT PB 000047/2021</v>
      </c>
      <c r="D60" s="216">
        <f>TRUNC((((22*18))-(((22*18))*0.2)),2)</f>
        <v>316.8</v>
      </c>
      <c r="E60" s="89"/>
      <c r="F60" s="89"/>
      <c r="G60" s="89"/>
    </row>
    <row r="61" spans="1:7">
      <c r="A61" s="252" t="s">
        <v>48</v>
      </c>
      <c r="B61" s="89" t="s">
        <v>100</v>
      </c>
      <c r="C61" s="253"/>
      <c r="D61" s="216">
        <v>0</v>
      </c>
      <c r="E61" s="89"/>
      <c r="F61" s="89"/>
      <c r="G61" s="89"/>
    </row>
    <row r="62" spans="1:7">
      <c r="A62" s="90" t="s">
        <v>50</v>
      </c>
      <c r="B62" s="266" t="s">
        <v>244</v>
      </c>
      <c r="C62" s="267"/>
      <c r="D62" s="267">
        <v>0</v>
      </c>
      <c r="E62" s="89"/>
      <c r="F62" s="266"/>
      <c r="G62" s="89"/>
    </row>
    <row r="63" spans="1:7">
      <c r="A63" s="252" t="s">
        <v>53</v>
      </c>
      <c r="B63" s="89" t="s">
        <v>207</v>
      </c>
      <c r="C63" s="253" t="str">
        <f>C9</f>
        <v>CCT PB 000047/2021</v>
      </c>
      <c r="D63" s="179">
        <v>15</v>
      </c>
      <c r="E63" s="89"/>
      <c r="F63" s="89"/>
      <c r="G63" s="89"/>
    </row>
    <row r="64" spans="1:7">
      <c r="A64" s="252" t="s">
        <v>55</v>
      </c>
      <c r="B64" s="268" t="s">
        <v>208</v>
      </c>
      <c r="C64" s="267" t="str">
        <f>C9</f>
        <v>CCT PB 000047/2021</v>
      </c>
      <c r="D64" s="179">
        <v>5</v>
      </c>
      <c r="E64" s="89"/>
      <c r="F64" s="89"/>
      <c r="G64" s="89"/>
    </row>
    <row r="65" spans="1:7">
      <c r="A65" s="252" t="s">
        <v>58</v>
      </c>
      <c r="B65" s="89"/>
      <c r="C65" s="89"/>
      <c r="D65" s="256">
        <f>TRUNC((SUM(D59:D64)),2)</f>
        <v>336.8</v>
      </c>
      <c r="E65" s="89"/>
      <c r="F65" s="89"/>
      <c r="G65" s="89"/>
    </row>
    <row r="66" spans="1:7">
      <c r="A66" s="252"/>
      <c r="B66" s="89"/>
      <c r="C66" s="89"/>
      <c r="D66" s="256"/>
      <c r="E66" s="89"/>
      <c r="F66" s="89"/>
      <c r="G66" s="89"/>
    </row>
    <row r="67" spans="1:7">
      <c r="A67" s="251" t="s">
        <v>105</v>
      </c>
      <c r="B67" s="251"/>
      <c r="C67" s="251"/>
      <c r="D67" s="251"/>
      <c r="E67" s="89"/>
      <c r="F67" s="89"/>
      <c r="G67" s="89"/>
    </row>
    <row r="68" spans="1:7">
      <c r="A68" s="252" t="s">
        <v>106</v>
      </c>
      <c r="B68" s="89" t="s">
        <v>107</v>
      </c>
      <c r="C68" s="252" t="s">
        <v>18</v>
      </c>
      <c r="D68" s="252" t="s">
        <v>19</v>
      </c>
      <c r="E68" s="89"/>
      <c r="F68" s="89"/>
      <c r="G68" s="89"/>
    </row>
    <row r="69" spans="1:7">
      <c r="A69" s="252" t="s">
        <v>65</v>
      </c>
      <c r="B69" s="89" t="s">
        <v>66</v>
      </c>
      <c r="C69" s="252"/>
      <c r="D69" s="256">
        <f>D39</f>
        <v>318.88</v>
      </c>
      <c r="E69" s="89"/>
      <c r="F69" s="89"/>
      <c r="G69" s="89"/>
    </row>
    <row r="70" spans="1:7">
      <c r="A70" s="252" t="s">
        <v>78</v>
      </c>
      <c r="B70" s="89" t="s">
        <v>79</v>
      </c>
      <c r="C70" s="252"/>
      <c r="D70" s="256">
        <f>D55</f>
        <v>779.6</v>
      </c>
      <c r="E70" s="89"/>
      <c r="F70" s="89"/>
      <c r="G70" s="89"/>
    </row>
    <row r="71" spans="1:7">
      <c r="A71" s="252" t="s">
        <v>96</v>
      </c>
      <c r="B71" s="89" t="s">
        <v>97</v>
      </c>
      <c r="C71" s="252"/>
      <c r="D71" s="256">
        <f>D65</f>
        <v>336.8</v>
      </c>
      <c r="E71" s="89"/>
      <c r="F71" s="89"/>
      <c r="G71" s="89"/>
    </row>
    <row r="72" spans="1:7">
      <c r="A72" s="252" t="s">
        <v>58</v>
      </c>
      <c r="B72" s="89"/>
      <c r="C72" s="252"/>
      <c r="D72" s="256">
        <f>TRUNC(SUM(D69:D71),2)</f>
        <v>1435.28</v>
      </c>
      <c r="E72" s="89"/>
      <c r="F72" s="89"/>
      <c r="G72" s="89"/>
    </row>
    <row r="73" spans="1:7">
      <c r="A73" s="89"/>
      <c r="B73" s="89"/>
      <c r="C73" s="89"/>
      <c r="D73" s="89"/>
      <c r="E73" s="89"/>
      <c r="F73" s="89"/>
      <c r="G73" s="89"/>
    </row>
    <row r="74" spans="1:7">
      <c r="A74" s="235" t="s">
        <v>108</v>
      </c>
      <c r="B74" s="235"/>
      <c r="C74" s="235"/>
      <c r="D74" s="235"/>
      <c r="E74" s="89"/>
      <c r="F74" s="89"/>
      <c r="G74" s="89"/>
    </row>
    <row r="75" spans="1:7">
      <c r="A75" s="252" t="s">
        <v>109</v>
      </c>
      <c r="B75" s="89" t="s">
        <v>110</v>
      </c>
      <c r="C75" s="252" t="s">
        <v>38</v>
      </c>
      <c r="D75" s="252" t="s">
        <v>19</v>
      </c>
      <c r="E75" s="89"/>
      <c r="F75" s="89"/>
      <c r="G75" s="89"/>
    </row>
    <row r="76" spans="1:7">
      <c r="A76" s="252" t="s">
        <v>42</v>
      </c>
      <c r="B76" s="89" t="s">
        <v>111</v>
      </c>
      <c r="C76" s="218">
        <f>((1/12)*5%)</f>
        <v>0.00416666666666667</v>
      </c>
      <c r="D76" s="216">
        <f t="shared" ref="D76:D79" si="1">TRUNC(($D$31*C76),2)</f>
        <v>6.83</v>
      </c>
      <c r="E76" s="89"/>
      <c r="F76" s="89"/>
      <c r="G76" s="89"/>
    </row>
    <row r="77" spans="1:7">
      <c r="A77" s="252" t="s">
        <v>45</v>
      </c>
      <c r="B77" s="89" t="s">
        <v>112</v>
      </c>
      <c r="C77" s="269">
        <v>0.08</v>
      </c>
      <c r="D77" s="256">
        <f>TRUNC(($D$76*C77),2)</f>
        <v>0.54</v>
      </c>
      <c r="E77" s="89"/>
      <c r="F77" s="89"/>
      <c r="G77" s="89"/>
    </row>
    <row r="78" spans="1:7">
      <c r="A78" s="252" t="s">
        <v>48</v>
      </c>
      <c r="B78" s="270" t="s">
        <v>113</v>
      </c>
      <c r="C78" s="271">
        <f>(0.08*0.4*0.05)</f>
        <v>0.0016</v>
      </c>
      <c r="D78" s="267">
        <f t="shared" si="1"/>
        <v>2.62</v>
      </c>
      <c r="E78" s="89"/>
      <c r="F78" s="89"/>
      <c r="G78" s="89"/>
    </row>
    <row r="79" spans="1:7">
      <c r="A79" s="252" t="s">
        <v>50</v>
      </c>
      <c r="B79" s="89" t="s">
        <v>114</v>
      </c>
      <c r="C79" s="272">
        <f>(((7/30)/12)*0.95)</f>
        <v>0.0184722222222222</v>
      </c>
      <c r="D79" s="273">
        <f t="shared" si="1"/>
        <v>30.29</v>
      </c>
      <c r="E79" s="89"/>
      <c r="F79" s="89"/>
      <c r="G79" s="89"/>
    </row>
    <row r="80" ht="30" spans="1:7">
      <c r="A80" s="252" t="s">
        <v>53</v>
      </c>
      <c r="B80" s="270" t="s">
        <v>209</v>
      </c>
      <c r="C80" s="271">
        <f>C55</f>
        <v>0.398</v>
      </c>
      <c r="D80" s="267">
        <f>TRUNC(($D$79*C80),2)</f>
        <v>12.05</v>
      </c>
      <c r="E80" s="89"/>
      <c r="F80" s="89"/>
      <c r="G80" s="89"/>
    </row>
    <row r="81" spans="1:7">
      <c r="A81" s="252" t="s">
        <v>55</v>
      </c>
      <c r="B81" s="270" t="s">
        <v>115</v>
      </c>
      <c r="C81" s="271">
        <f>(0.08*0.4*0.95)</f>
        <v>0.0304</v>
      </c>
      <c r="D81" s="267">
        <f>TRUNC(($D$31*C81),2)</f>
        <v>49.85</v>
      </c>
      <c r="E81" s="89"/>
      <c r="F81" s="89"/>
      <c r="G81" s="89"/>
    </row>
    <row r="82" spans="1:7">
      <c r="A82" s="252" t="s">
        <v>58</v>
      </c>
      <c r="B82" s="89"/>
      <c r="C82" s="269">
        <f>SUM(C76:C81)</f>
        <v>0.532638888888889</v>
      </c>
      <c r="D82" s="256">
        <f>TRUNC((SUM(D76:D81)),2)</f>
        <v>102.18</v>
      </c>
      <c r="E82" s="89"/>
      <c r="F82" s="89"/>
      <c r="G82" s="89"/>
    </row>
    <row r="83" ht="15.75" spans="1:7">
      <c r="A83" s="252"/>
      <c r="B83" s="89"/>
      <c r="C83" s="89"/>
      <c r="D83" s="256"/>
      <c r="E83" s="89"/>
      <c r="F83" s="89"/>
      <c r="G83" s="89"/>
    </row>
    <row r="84" ht="16.5" spans="1:7">
      <c r="A84" s="260" t="s">
        <v>210</v>
      </c>
      <c r="B84" s="260"/>
      <c r="C84" s="261" t="s">
        <v>202</v>
      </c>
      <c r="D84" s="262">
        <f>D31</f>
        <v>1640</v>
      </c>
      <c r="E84" s="89"/>
      <c r="F84" s="89"/>
      <c r="G84" s="89"/>
    </row>
    <row r="85" ht="16.5" spans="1:7">
      <c r="A85" s="260"/>
      <c r="B85" s="260"/>
      <c r="C85" s="263" t="s">
        <v>211</v>
      </c>
      <c r="D85" s="262">
        <f>D72</f>
        <v>1435.28</v>
      </c>
      <c r="E85" s="89"/>
      <c r="F85" s="89"/>
      <c r="G85" s="89"/>
    </row>
    <row r="86" ht="16.5" spans="1:7">
      <c r="A86" s="260"/>
      <c r="B86" s="260"/>
      <c r="C86" s="261" t="s">
        <v>212</v>
      </c>
      <c r="D86" s="262">
        <f>D82</f>
        <v>102.18</v>
      </c>
      <c r="E86" s="89"/>
      <c r="F86" s="89"/>
      <c r="G86" s="89"/>
    </row>
    <row r="87" ht="16.5" spans="1:7">
      <c r="A87" s="260"/>
      <c r="B87" s="260"/>
      <c r="C87" s="263" t="s">
        <v>204</v>
      </c>
      <c r="D87" s="264">
        <f>TRUNC((SUM(D84:D86)),2)</f>
        <v>3177.46</v>
      </c>
      <c r="E87" s="89"/>
      <c r="F87" s="89"/>
      <c r="G87" s="89"/>
    </row>
    <row r="88" ht="15.75" spans="1:7">
      <c r="A88" s="252"/>
      <c r="B88" s="89"/>
      <c r="C88" s="89"/>
      <c r="D88" s="256"/>
      <c r="E88" s="89"/>
      <c r="F88" s="89"/>
      <c r="G88" s="89"/>
    </row>
    <row r="89" spans="1:7">
      <c r="A89" s="274" t="s">
        <v>127</v>
      </c>
      <c r="B89" s="274"/>
      <c r="C89" s="274"/>
      <c r="D89" s="274"/>
      <c r="E89" s="89"/>
      <c r="F89" s="89"/>
      <c r="G89" s="89"/>
    </row>
    <row r="90" spans="1:7">
      <c r="A90" s="251" t="s">
        <v>128</v>
      </c>
      <c r="B90" s="251"/>
      <c r="C90" s="251"/>
      <c r="D90" s="251"/>
      <c r="E90" s="89"/>
      <c r="F90" s="89"/>
      <c r="G90" s="89"/>
    </row>
    <row r="91" spans="1:7">
      <c r="A91" s="252" t="s">
        <v>129</v>
      </c>
      <c r="B91" s="89" t="s">
        <v>130</v>
      </c>
      <c r="C91" s="252" t="s">
        <v>38</v>
      </c>
      <c r="D91" s="252" t="s">
        <v>19</v>
      </c>
      <c r="E91" s="89"/>
      <c r="F91" s="89"/>
      <c r="G91" s="89"/>
    </row>
    <row r="92" spans="1:7">
      <c r="A92" s="252" t="s">
        <v>42</v>
      </c>
      <c r="B92" s="89" t="s">
        <v>213</v>
      </c>
      <c r="C92" s="269">
        <f>(((1+1/3)/12)/12)+((1/12)/12)</f>
        <v>0.0162037037037037</v>
      </c>
      <c r="D92" s="256">
        <f>TRUNC(($D$87*C92),2)</f>
        <v>51.48</v>
      </c>
      <c r="E92" s="89"/>
      <c r="F92" s="89"/>
      <c r="G92" s="89"/>
    </row>
    <row r="93" spans="1:7">
      <c r="A93" s="252" t="s">
        <v>45</v>
      </c>
      <c r="B93" s="89" t="s">
        <v>133</v>
      </c>
      <c r="C93" s="218">
        <f>((2/30)/12)</f>
        <v>0.00555555555555556</v>
      </c>
      <c r="D93" s="267">
        <f t="shared" ref="D92:D96" si="2">TRUNC(($D$87*C93),2)</f>
        <v>17.65</v>
      </c>
      <c r="E93" s="89"/>
      <c r="F93" s="89"/>
      <c r="G93" s="89"/>
    </row>
    <row r="94" spans="1:7">
      <c r="A94" s="252" t="s">
        <v>48</v>
      </c>
      <c r="B94" s="89" t="s">
        <v>134</v>
      </c>
      <c r="C94" s="218">
        <f>((5/30)/12)*0.02</f>
        <v>0.000277777777777778</v>
      </c>
      <c r="D94" s="267">
        <f t="shared" si="2"/>
        <v>0.88</v>
      </c>
      <c r="E94" s="89"/>
      <c r="F94" s="89"/>
      <c r="G94" s="89"/>
    </row>
    <row r="95" spans="1:7">
      <c r="A95" s="90" t="s">
        <v>50</v>
      </c>
      <c r="B95" s="270" t="s">
        <v>135</v>
      </c>
      <c r="C95" s="271">
        <f>((15/30)/12)*0.08</f>
        <v>0.00333333333333333</v>
      </c>
      <c r="D95" s="267">
        <f t="shared" si="2"/>
        <v>10.59</v>
      </c>
      <c r="E95" s="89"/>
      <c r="F95" s="89"/>
      <c r="G95" s="89"/>
    </row>
    <row r="96" spans="1:7">
      <c r="A96" s="252" t="s">
        <v>53</v>
      </c>
      <c r="B96" s="89" t="s">
        <v>136</v>
      </c>
      <c r="C96" s="218">
        <f>((1+1/3)/12)*0.03*((4/12))</f>
        <v>0.00111111111111111</v>
      </c>
      <c r="D96" s="267">
        <f t="shared" si="2"/>
        <v>3.53</v>
      </c>
      <c r="E96" s="89"/>
      <c r="F96" s="89"/>
      <c r="G96" s="89"/>
    </row>
    <row r="97" spans="1:7">
      <c r="A97" s="252" t="s">
        <v>55</v>
      </c>
      <c r="B97" s="270" t="s">
        <v>214</v>
      </c>
      <c r="C97" s="275">
        <v>0</v>
      </c>
      <c r="D97" s="267">
        <f>TRUNC($D$87*C97)</f>
        <v>0</v>
      </c>
      <c r="E97" s="89"/>
      <c r="F97" s="89"/>
      <c r="G97" s="89"/>
    </row>
    <row r="98" spans="1:7">
      <c r="A98" s="252" t="s">
        <v>58</v>
      </c>
      <c r="B98" s="89"/>
      <c r="C98" s="269">
        <f>SUM(C92:C97)</f>
        <v>0.0264814814814815</v>
      </c>
      <c r="D98" s="256">
        <f>TRUNC((SUM(D92:D97)),2)</f>
        <v>84.13</v>
      </c>
      <c r="E98" s="89"/>
      <c r="F98" s="89"/>
      <c r="G98" s="89"/>
    </row>
    <row r="99" spans="1:7">
      <c r="A99" s="252"/>
      <c r="B99" s="89"/>
      <c r="C99" s="252"/>
      <c r="D99" s="256"/>
      <c r="E99" s="89"/>
      <c r="F99" s="89"/>
      <c r="G99" s="89"/>
    </row>
    <row r="100" spans="1:7">
      <c r="A100" s="251" t="s">
        <v>144</v>
      </c>
      <c r="B100" s="251"/>
      <c r="C100" s="251"/>
      <c r="D100" s="251"/>
      <c r="E100" s="89"/>
      <c r="F100" s="89"/>
      <c r="G100" s="89"/>
    </row>
    <row r="101" spans="1:7">
      <c r="A101" s="252" t="s">
        <v>145</v>
      </c>
      <c r="B101" s="89" t="s">
        <v>146</v>
      </c>
      <c r="C101" s="252" t="s">
        <v>18</v>
      </c>
      <c r="D101" s="252" t="s">
        <v>19</v>
      </c>
      <c r="E101" s="89"/>
      <c r="F101" s="89"/>
      <c r="G101" s="89"/>
    </row>
    <row r="102" ht="90" spans="1:7">
      <c r="A102" s="90" t="s">
        <v>42</v>
      </c>
      <c r="B102" s="276" t="s">
        <v>147</v>
      </c>
      <c r="C102" s="210" t="s">
        <v>215</v>
      </c>
      <c r="D102" s="277" t="s">
        <v>216</v>
      </c>
      <c r="E102" s="89"/>
      <c r="F102" s="89"/>
      <c r="G102" s="89"/>
    </row>
    <row r="103" spans="1:7">
      <c r="A103" s="252" t="s">
        <v>58</v>
      </c>
      <c r="B103" s="89"/>
      <c r="C103" s="252"/>
      <c r="D103" s="278" t="str">
        <f>D102</f>
        <v>*=TRUNCAR(($D$86/220)*(1*(365/12))/2)</v>
      </c>
      <c r="E103" s="89"/>
      <c r="F103" s="89"/>
      <c r="G103" s="89"/>
    </row>
    <row r="104" spans="1:7">
      <c r="A104" s="89"/>
      <c r="B104" s="89"/>
      <c r="C104" s="89"/>
      <c r="D104" s="89"/>
      <c r="E104" s="89"/>
      <c r="F104" s="89"/>
      <c r="G104" s="89"/>
    </row>
    <row r="105" spans="1:7">
      <c r="A105" s="251" t="s">
        <v>148</v>
      </c>
      <c r="B105" s="251"/>
      <c r="C105" s="251"/>
      <c r="D105" s="251"/>
      <c r="E105" s="89"/>
      <c r="F105" s="89"/>
      <c r="G105" s="89"/>
    </row>
    <row r="106" spans="1:7">
      <c r="A106" s="252" t="s">
        <v>149</v>
      </c>
      <c r="B106" s="89" t="s">
        <v>150</v>
      </c>
      <c r="C106" s="252" t="s">
        <v>18</v>
      </c>
      <c r="D106" s="252" t="s">
        <v>19</v>
      </c>
      <c r="E106" s="89"/>
      <c r="F106" s="89"/>
      <c r="G106" s="89"/>
    </row>
    <row r="107" spans="1:7">
      <c r="A107" s="252" t="s">
        <v>129</v>
      </c>
      <c r="B107" s="89" t="s">
        <v>130</v>
      </c>
      <c r="C107" s="89"/>
      <c r="D107" s="216">
        <f>D98</f>
        <v>84.13</v>
      </c>
      <c r="E107" s="89"/>
      <c r="F107" s="89"/>
      <c r="G107" s="89"/>
    </row>
    <row r="108" spans="1:7">
      <c r="A108" s="252" t="s">
        <v>145</v>
      </c>
      <c r="B108" s="89" t="s">
        <v>151</v>
      </c>
      <c r="C108" s="89"/>
      <c r="D108" s="279" t="str">
        <f>Submódulo4.260_8120102[[#Totals],[Valor]]</f>
        <v>*=TRUNCAR(($D$86/220)*(1*(365/12))/2)</v>
      </c>
      <c r="E108" s="89"/>
      <c r="F108" s="89"/>
      <c r="G108" s="89"/>
    </row>
    <row r="109" ht="60" spans="1:7">
      <c r="A109" s="90" t="s">
        <v>58</v>
      </c>
      <c r="B109" s="266"/>
      <c r="C109" s="210" t="s">
        <v>217</v>
      </c>
      <c r="D109" s="280">
        <f>TRUNC((SUM(D107:D108)),2)</f>
        <v>84.13</v>
      </c>
      <c r="E109" s="89"/>
      <c r="F109" s="89"/>
      <c r="G109" s="89"/>
    </row>
    <row r="110" spans="1:7">
      <c r="A110" s="89"/>
      <c r="B110" s="89"/>
      <c r="C110" s="89"/>
      <c r="D110" s="89"/>
      <c r="E110" s="89"/>
      <c r="F110" s="89"/>
      <c r="G110" s="89"/>
    </row>
    <row r="111" spans="1:7">
      <c r="A111" s="235" t="s">
        <v>152</v>
      </c>
      <c r="B111" s="235"/>
      <c r="C111" s="235"/>
      <c r="D111" s="235"/>
      <c r="E111" s="89"/>
      <c r="F111" s="89"/>
      <c r="G111" s="89"/>
    </row>
    <row r="112" spans="1:7">
      <c r="A112" s="252" t="s">
        <v>153</v>
      </c>
      <c r="B112" s="89" t="s">
        <v>154</v>
      </c>
      <c r="C112" s="252" t="s">
        <v>18</v>
      </c>
      <c r="D112" s="252" t="s">
        <v>19</v>
      </c>
      <c r="E112" s="89"/>
      <c r="F112" s="89"/>
      <c r="G112" s="89"/>
    </row>
    <row r="113" spans="1:7">
      <c r="A113" s="252" t="s">
        <v>42</v>
      </c>
      <c r="B113" s="89" t="s">
        <v>218</v>
      </c>
      <c r="C113" s="89"/>
      <c r="D113" s="216">
        <f>Uniformes!G46</f>
        <v>100.5</v>
      </c>
      <c r="E113" s="89"/>
      <c r="F113" s="89"/>
      <c r="G113" s="89"/>
    </row>
    <row r="114" spans="1:7">
      <c r="A114" s="252" t="s">
        <v>45</v>
      </c>
      <c r="B114" s="89" t="s">
        <v>219</v>
      </c>
      <c r="C114" s="89"/>
      <c r="D114" s="216">
        <f>EPC!E21</f>
        <v>35.9</v>
      </c>
      <c r="E114" s="89"/>
      <c r="F114" s="89"/>
      <c r="G114" s="89"/>
    </row>
    <row r="115" spans="1:7">
      <c r="A115" s="252" t="s">
        <v>48</v>
      </c>
      <c r="B115" s="89" t="s">
        <v>156</v>
      </c>
      <c r="C115" s="89"/>
      <c r="D115" s="216">
        <f>'Materiais e Equipamentos'!E93</f>
        <v>186.23</v>
      </c>
      <c r="E115" s="89"/>
      <c r="F115" s="89"/>
      <c r="G115" s="89"/>
    </row>
    <row r="116" spans="1:7">
      <c r="A116" s="252" t="s">
        <v>50</v>
      </c>
      <c r="B116" s="89" t="s">
        <v>157</v>
      </c>
      <c r="C116" s="89"/>
      <c r="D116" s="216">
        <f>'Materiais e Equipamentos'!F124</f>
        <v>68.87</v>
      </c>
      <c r="E116" s="89"/>
      <c r="F116" s="89"/>
      <c r="G116" s="89"/>
    </row>
    <row r="117" spans="1:7">
      <c r="A117" s="252" t="s">
        <v>53</v>
      </c>
      <c r="B117" s="89" t="s">
        <v>56</v>
      </c>
      <c r="C117" s="89"/>
      <c r="D117" s="216">
        <f>H116</f>
        <v>0</v>
      </c>
      <c r="E117" s="89"/>
      <c r="F117" s="89"/>
      <c r="G117" s="89"/>
    </row>
    <row r="118" spans="1:7">
      <c r="A118" s="252" t="s">
        <v>58</v>
      </c>
      <c r="B118" s="89"/>
      <c r="C118" s="89"/>
      <c r="D118" s="256">
        <f>TRUNC(SUM((D113:D117)),2)</f>
        <v>391.5</v>
      </c>
      <c r="E118" s="89"/>
      <c r="F118" s="89"/>
      <c r="G118" s="89"/>
    </row>
    <row r="119" ht="15.75" spans="1:7">
      <c r="A119" s="89"/>
      <c r="B119" s="89"/>
      <c r="C119" s="89"/>
      <c r="D119" s="89"/>
      <c r="E119" s="89"/>
      <c r="F119" s="89"/>
      <c r="G119" s="89"/>
    </row>
    <row r="120" ht="16.5" spans="1:7">
      <c r="A120" s="260" t="s">
        <v>221</v>
      </c>
      <c r="B120" s="260"/>
      <c r="C120" s="261" t="s">
        <v>202</v>
      </c>
      <c r="D120" s="262">
        <f>D31</f>
        <v>1640</v>
      </c>
      <c r="E120" s="89"/>
      <c r="F120" s="89"/>
      <c r="G120" s="89"/>
    </row>
    <row r="121" ht="16.5" spans="1:7">
      <c r="A121" s="260"/>
      <c r="B121" s="260"/>
      <c r="C121" s="263" t="s">
        <v>211</v>
      </c>
      <c r="D121" s="262">
        <f>D72</f>
        <v>1435.28</v>
      </c>
      <c r="E121" s="89"/>
      <c r="F121" s="89"/>
      <c r="G121" s="89"/>
    </row>
    <row r="122" ht="16.5" spans="1:7">
      <c r="A122" s="260"/>
      <c r="B122" s="260"/>
      <c r="C122" s="261" t="s">
        <v>212</v>
      </c>
      <c r="D122" s="262">
        <f>D82</f>
        <v>102.18</v>
      </c>
      <c r="E122" s="89"/>
      <c r="F122" s="89"/>
      <c r="G122" s="89"/>
    </row>
    <row r="123" ht="16.5" spans="1:7">
      <c r="A123" s="260"/>
      <c r="B123" s="260"/>
      <c r="C123" s="263" t="s">
        <v>222</v>
      </c>
      <c r="D123" s="262">
        <f>D109</f>
        <v>84.13</v>
      </c>
      <c r="E123" s="89"/>
      <c r="F123" s="89"/>
      <c r="G123" s="89"/>
    </row>
    <row r="124" ht="16.5" spans="1:7">
      <c r="A124" s="260"/>
      <c r="B124" s="260"/>
      <c r="C124" s="261" t="s">
        <v>223</v>
      </c>
      <c r="D124" s="262">
        <f>D118</f>
        <v>391.5</v>
      </c>
      <c r="E124" s="89"/>
      <c r="F124" s="89"/>
      <c r="G124" s="89"/>
    </row>
    <row r="125" ht="16.5" spans="1:7">
      <c r="A125" s="260"/>
      <c r="B125" s="260"/>
      <c r="C125" s="263" t="s">
        <v>204</v>
      </c>
      <c r="D125" s="264">
        <f>TRUNC((SUM(D120:D124)),2)</f>
        <v>3653.09</v>
      </c>
      <c r="E125" s="89"/>
      <c r="F125" s="89"/>
      <c r="G125" s="89"/>
    </row>
    <row r="126" ht="15.75" spans="1:7">
      <c r="A126" s="89"/>
      <c r="B126" s="89"/>
      <c r="C126" s="89"/>
      <c r="D126" s="89"/>
      <c r="E126" s="89"/>
      <c r="F126" s="89"/>
      <c r="G126" s="89"/>
    </row>
    <row r="127" spans="1:7">
      <c r="A127" s="235" t="s">
        <v>164</v>
      </c>
      <c r="B127" s="235"/>
      <c r="C127" s="235"/>
      <c r="D127" s="235"/>
      <c r="E127" s="89"/>
      <c r="F127" s="89"/>
      <c r="G127" s="89"/>
    </row>
    <row r="128" ht="15.75" spans="1:7">
      <c r="A128" s="252" t="s">
        <v>165</v>
      </c>
      <c r="B128" s="89" t="s">
        <v>166</v>
      </c>
      <c r="C128" s="252" t="s">
        <v>38</v>
      </c>
      <c r="D128" s="252" t="s">
        <v>19</v>
      </c>
      <c r="E128" s="89"/>
      <c r="F128" s="281" t="s">
        <v>224</v>
      </c>
      <c r="G128" s="281"/>
    </row>
    <row r="129" ht="15.75" spans="1:7">
      <c r="A129" s="252" t="s">
        <v>42</v>
      </c>
      <c r="B129" s="89" t="s">
        <v>167</v>
      </c>
      <c r="C129" s="218">
        <v>0.044</v>
      </c>
      <c r="D129" s="216">
        <f>TRUNC(($D$125*C129),2)</f>
        <v>160.73</v>
      </c>
      <c r="E129" s="89"/>
      <c r="F129" s="282" t="s">
        <v>225</v>
      </c>
      <c r="G129" s="271">
        <f>C131</f>
        <v>0.0865</v>
      </c>
    </row>
    <row r="130" ht="15.75" spans="1:7">
      <c r="A130" s="252" t="s">
        <v>45</v>
      </c>
      <c r="B130" s="89" t="s">
        <v>59</v>
      </c>
      <c r="C130" s="218">
        <v>0.0413</v>
      </c>
      <c r="D130" s="216">
        <f>TRUNC((C130*(D125+D129)),2)</f>
        <v>157.51</v>
      </c>
      <c r="E130" s="89"/>
      <c r="F130" s="283" t="s">
        <v>226</v>
      </c>
      <c r="G130" s="284">
        <f>TRUNC(SUM(D125,D129,D130),2)</f>
        <v>3971.33</v>
      </c>
    </row>
    <row r="131" ht="15.75" spans="1:7">
      <c r="A131" s="252" t="s">
        <v>48</v>
      </c>
      <c r="B131" s="89" t="s">
        <v>168</v>
      </c>
      <c r="C131" s="218">
        <f>SUM(C132:C134)</f>
        <v>0.0865</v>
      </c>
      <c r="D131" s="216">
        <f>TRUNC((SUM(D132:D134)),2)</f>
        <v>376.03</v>
      </c>
      <c r="E131" s="89"/>
      <c r="F131" s="282" t="s">
        <v>227</v>
      </c>
      <c r="G131" s="285">
        <f>(100-8.65)/100</f>
        <v>0.9135</v>
      </c>
    </row>
    <row r="132" ht="15.75" spans="1:7">
      <c r="A132" s="252"/>
      <c r="B132" s="89" t="s">
        <v>228</v>
      </c>
      <c r="C132" s="218">
        <v>0.0065</v>
      </c>
      <c r="D132" s="216">
        <f t="shared" ref="D132:D134" si="3">TRUNC(($G$132*C132),2)</f>
        <v>28.25</v>
      </c>
      <c r="E132" s="89"/>
      <c r="F132" s="283" t="s">
        <v>224</v>
      </c>
      <c r="G132" s="284">
        <f>TRUNC((G130/G131),2)</f>
        <v>4347.37</v>
      </c>
    </row>
    <row r="133" ht="15.75" spans="1:7">
      <c r="A133" s="252"/>
      <c r="B133" s="89" t="s">
        <v>229</v>
      </c>
      <c r="C133" s="218">
        <v>0.03</v>
      </c>
      <c r="D133" s="216">
        <f t="shared" si="3"/>
        <v>130.42</v>
      </c>
      <c r="E133" s="89"/>
      <c r="F133" s="89"/>
      <c r="G133" s="89"/>
    </row>
    <row r="134" spans="1:7">
      <c r="A134" s="252"/>
      <c r="B134" s="89" t="s">
        <v>230</v>
      </c>
      <c r="C134" s="218">
        <v>0.05</v>
      </c>
      <c r="D134" s="216">
        <f t="shared" si="3"/>
        <v>217.36</v>
      </c>
      <c r="E134" s="89"/>
      <c r="F134" s="89"/>
      <c r="G134" s="89"/>
    </row>
    <row r="135" spans="1:7">
      <c r="A135" s="252" t="s">
        <v>58</v>
      </c>
      <c r="B135" s="89"/>
      <c r="C135" s="252"/>
      <c r="D135" s="256">
        <f>TRUNC(SUM(D129:D131),2)</f>
        <v>694.27</v>
      </c>
      <c r="E135" s="89"/>
      <c r="F135" s="89"/>
      <c r="G135" s="89"/>
    </row>
    <row r="136" spans="1:7">
      <c r="A136" s="252"/>
      <c r="B136" s="89"/>
      <c r="C136" s="252"/>
      <c r="D136" s="256"/>
      <c r="E136" s="89"/>
      <c r="F136" s="89"/>
      <c r="G136" s="89"/>
    </row>
    <row r="137" spans="1:7">
      <c r="A137" s="89"/>
      <c r="B137" s="89"/>
      <c r="C137" s="89"/>
      <c r="D137" s="89"/>
      <c r="E137" s="89"/>
      <c r="F137" s="89"/>
      <c r="G137" s="89"/>
    </row>
    <row r="138" spans="1:7">
      <c r="A138" s="235" t="s">
        <v>172</v>
      </c>
      <c r="B138" s="235"/>
      <c r="C138" s="235"/>
      <c r="D138" s="235"/>
      <c r="E138" s="89"/>
      <c r="F138" s="89"/>
      <c r="G138" s="89"/>
    </row>
    <row r="139" spans="1:7">
      <c r="A139" s="252" t="s">
        <v>16</v>
      </c>
      <c r="B139" s="252" t="s">
        <v>173</v>
      </c>
      <c r="C139" s="252" t="s">
        <v>102</v>
      </c>
      <c r="D139" s="252" t="s">
        <v>19</v>
      </c>
      <c r="E139" s="89"/>
      <c r="F139" s="89"/>
      <c r="G139" s="89"/>
    </row>
    <row r="140" spans="1:7">
      <c r="A140" s="252" t="s">
        <v>42</v>
      </c>
      <c r="B140" s="89" t="s">
        <v>36</v>
      </c>
      <c r="C140" s="89"/>
      <c r="D140" s="256">
        <f>D31</f>
        <v>1640</v>
      </c>
      <c r="E140" s="89"/>
      <c r="F140" s="89"/>
      <c r="G140" s="89"/>
    </row>
    <row r="141" spans="1:7">
      <c r="A141" s="252" t="s">
        <v>45</v>
      </c>
      <c r="B141" s="89" t="s">
        <v>61</v>
      </c>
      <c r="C141" s="89"/>
      <c r="D141" s="256">
        <f>D72</f>
        <v>1435.28</v>
      </c>
      <c r="E141" s="89"/>
      <c r="F141" s="89"/>
      <c r="G141" s="89"/>
    </row>
    <row r="142" spans="1:7">
      <c r="A142" s="252" t="s">
        <v>48</v>
      </c>
      <c r="B142" s="89" t="s">
        <v>108</v>
      </c>
      <c r="C142" s="89"/>
      <c r="D142" s="256">
        <f>D82</f>
        <v>102.18</v>
      </c>
      <c r="E142" s="89"/>
      <c r="F142" s="89"/>
      <c r="G142" s="89"/>
    </row>
    <row r="143" spans="1:7">
      <c r="A143" s="252" t="s">
        <v>50</v>
      </c>
      <c r="B143" s="89" t="s">
        <v>174</v>
      </c>
      <c r="C143" s="89"/>
      <c r="D143" s="256">
        <f>D109</f>
        <v>84.13</v>
      </c>
      <c r="E143" s="89"/>
      <c r="F143" s="89"/>
      <c r="G143" s="89"/>
    </row>
    <row r="144" spans="1:7">
      <c r="A144" s="252" t="s">
        <v>53</v>
      </c>
      <c r="B144" s="89" t="s">
        <v>152</v>
      </c>
      <c r="C144" s="89"/>
      <c r="D144" s="256">
        <f>D118</f>
        <v>391.5</v>
      </c>
      <c r="E144" s="89"/>
      <c r="F144" s="89"/>
      <c r="G144" s="89"/>
    </row>
    <row r="145" spans="1:7">
      <c r="A145" s="89"/>
      <c r="B145" s="286" t="s">
        <v>175</v>
      </c>
      <c r="C145" s="89"/>
      <c r="D145" s="256">
        <f>TRUNC(SUM(D140:D144),2)</f>
        <v>3653.09</v>
      </c>
      <c r="E145" s="89"/>
      <c r="F145" s="89"/>
      <c r="G145" s="89"/>
    </row>
    <row r="146" spans="1:7">
      <c r="A146" s="252" t="s">
        <v>55</v>
      </c>
      <c r="B146" s="89" t="s">
        <v>164</v>
      </c>
      <c r="C146" s="89"/>
      <c r="D146" s="256">
        <f>D135</f>
        <v>694.27</v>
      </c>
      <c r="E146" s="89"/>
      <c r="F146" s="89"/>
      <c r="G146" s="89"/>
    </row>
    <row r="147" spans="1:7">
      <c r="A147" s="287"/>
      <c r="B147" s="288" t="s">
        <v>231</v>
      </c>
      <c r="C147" s="287"/>
      <c r="D147" s="289">
        <f>TRUNC((SUM(D140:D144)+D146),2)</f>
        <v>4347.36</v>
      </c>
      <c r="E147" s="89"/>
      <c r="F147" s="89"/>
      <c r="G147" s="89"/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topLeftCell="A119" workbookViewId="0">
      <selection activeCell="A2" sqref="A2:D147"/>
    </sheetView>
  </sheetViews>
  <sheetFormatPr defaultColWidth="9.14285714285714" defaultRowHeight="15" outlineLevelCol="6"/>
  <cols>
    <col min="1" max="1" width="11" customWidth="1"/>
    <col min="2" max="2" width="52.1428571428571" customWidth="1"/>
    <col min="3" max="3" width="29.7142857142857" customWidth="1"/>
    <col min="4" max="4" width="34.2857142857143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53" t="s">
        <v>177</v>
      </c>
      <c r="B2" s="153"/>
      <c r="C2" s="153"/>
      <c r="D2" s="153"/>
    </row>
    <row r="3" ht="15.75" spans="1:4">
      <c r="A3" s="154" t="s">
        <v>178</v>
      </c>
      <c r="B3" s="154"/>
      <c r="C3" s="154"/>
      <c r="D3" s="154"/>
    </row>
    <row r="4" spans="1:4">
      <c r="A4" s="155" t="s">
        <v>179</v>
      </c>
      <c r="B4" s="156" t="s">
        <v>180</v>
      </c>
      <c r="C4" s="157"/>
      <c r="D4" s="157"/>
    </row>
    <row r="5" spans="1:4">
      <c r="A5" s="158"/>
      <c r="B5" s="159"/>
      <c r="C5" s="159"/>
      <c r="D5" s="159"/>
    </row>
    <row r="6" ht="15.75" spans="1:4">
      <c r="A6" s="160" t="s">
        <v>181</v>
      </c>
      <c r="B6" s="160"/>
      <c r="C6" s="160"/>
      <c r="D6" s="160"/>
    </row>
    <row r="7" ht="15.75" spans="1:4">
      <c r="A7" s="161" t="s">
        <v>42</v>
      </c>
      <c r="B7" s="162" t="s">
        <v>182</v>
      </c>
      <c r="C7" s="163" t="s">
        <v>183</v>
      </c>
      <c r="D7" s="163"/>
    </row>
    <row r="8" spans="1:4">
      <c r="A8" s="164" t="s">
        <v>45</v>
      </c>
      <c r="B8" s="165" t="s">
        <v>184</v>
      </c>
      <c r="C8" s="166" t="s">
        <v>185</v>
      </c>
      <c r="D8" s="166"/>
    </row>
    <row r="9" spans="1:4">
      <c r="A9" s="167" t="s">
        <v>48</v>
      </c>
      <c r="B9" s="168" t="s">
        <v>186</v>
      </c>
      <c r="C9" s="166" t="s">
        <v>187</v>
      </c>
      <c r="D9" s="166"/>
    </row>
    <row r="10" spans="1:4">
      <c r="A10" s="164" t="s">
        <v>53</v>
      </c>
      <c r="B10" s="165" t="s">
        <v>188</v>
      </c>
      <c r="C10" s="166" t="s">
        <v>189</v>
      </c>
      <c r="D10" s="166"/>
    </row>
    <row r="11" ht="15.75" spans="1:4">
      <c r="A11" s="169" t="s">
        <v>190</v>
      </c>
      <c r="B11" s="169"/>
      <c r="C11" s="169"/>
      <c r="D11" s="169"/>
    </row>
    <row r="12" ht="16.5" spans="1:4">
      <c r="A12" s="170" t="s">
        <v>191</v>
      </c>
      <c r="B12" s="170"/>
      <c r="C12" s="169" t="s">
        <v>192</v>
      </c>
      <c r="D12" s="171" t="s">
        <v>193</v>
      </c>
    </row>
    <row r="13" ht="15.75" spans="1:4">
      <c r="A13" s="172" t="s">
        <v>245</v>
      </c>
      <c r="B13" s="172"/>
      <c r="C13" s="166" t="s">
        <v>235</v>
      </c>
      <c r="D13" s="173">
        <f>RESUMO!D4</f>
        <v>1</v>
      </c>
    </row>
    <row r="14" spans="1:4">
      <c r="A14" s="174"/>
      <c r="B14" s="174"/>
      <c r="C14" s="166"/>
      <c r="D14" s="175"/>
    </row>
    <row r="15" ht="15.75" spans="1:7">
      <c r="A15" s="169" t="s">
        <v>14</v>
      </c>
      <c r="B15" s="169"/>
      <c r="C15" s="169"/>
      <c r="D15" s="169"/>
      <c r="F15" s="176"/>
      <c r="G15" s="176"/>
    </row>
    <row r="16" ht="15.75" spans="1:4">
      <c r="A16" s="177" t="s">
        <v>16</v>
      </c>
      <c r="B16" t="s">
        <v>17</v>
      </c>
      <c r="C16" s="177" t="s">
        <v>18</v>
      </c>
      <c r="D16" s="177" t="s">
        <v>19</v>
      </c>
    </row>
    <row r="17" spans="1:4">
      <c r="A17" s="177">
        <v>1</v>
      </c>
      <c r="B17" t="s">
        <v>20</v>
      </c>
      <c r="C17" s="178" t="s">
        <v>102</v>
      </c>
      <c r="D17" s="178" t="str">
        <f>A13</f>
        <v>Jardineiro</v>
      </c>
    </row>
    <row r="18" spans="1:4">
      <c r="A18" s="177">
        <v>2</v>
      </c>
      <c r="B18" t="s">
        <v>23</v>
      </c>
      <c r="C18" s="178" t="s">
        <v>196</v>
      </c>
      <c r="D18" s="178" t="s">
        <v>246</v>
      </c>
    </row>
    <row r="19" spans="1:4">
      <c r="A19" s="177">
        <v>3</v>
      </c>
      <c r="B19" t="s">
        <v>26</v>
      </c>
      <c r="C19" s="178" t="str">
        <f>C9</f>
        <v>CCT PB000047/2021</v>
      </c>
      <c r="D19" s="179">
        <v>1124</v>
      </c>
    </row>
    <row r="20" spans="1:4">
      <c r="A20" s="177">
        <v>4</v>
      </c>
      <c r="B20" t="s">
        <v>29</v>
      </c>
      <c r="C20" s="178" t="str">
        <f>C9</f>
        <v>CCT PB000047/2021</v>
      </c>
      <c r="D20" s="180" t="s">
        <v>198</v>
      </c>
    </row>
    <row r="21" spans="1:4">
      <c r="A21" s="177">
        <v>5</v>
      </c>
      <c r="B21" t="s">
        <v>33</v>
      </c>
      <c r="C21" s="178" t="str">
        <f>C9</f>
        <v>CCT PB000047/2021</v>
      </c>
      <c r="D21" s="181" t="s">
        <v>199</v>
      </c>
    </row>
    <row r="22" spans="6:7">
      <c r="F22" s="176"/>
      <c r="G22" s="176"/>
    </row>
    <row r="23" spans="1:4">
      <c r="A23" s="160" t="s">
        <v>36</v>
      </c>
      <c r="B23" s="160"/>
      <c r="C23" s="160"/>
      <c r="D23" s="160"/>
    </row>
    <row r="24" spans="1:7">
      <c r="A24" s="177" t="s">
        <v>39</v>
      </c>
      <c r="B24" s="182" t="s">
        <v>40</v>
      </c>
      <c r="C24" s="177" t="s">
        <v>18</v>
      </c>
      <c r="D24" s="177" t="s">
        <v>19</v>
      </c>
      <c r="G24" s="183"/>
    </row>
    <row r="25" spans="1:7">
      <c r="A25" s="177" t="s">
        <v>42</v>
      </c>
      <c r="B25" t="s">
        <v>43</v>
      </c>
      <c r="C25" s="180" t="s">
        <v>200</v>
      </c>
      <c r="D25" s="179">
        <f>D19</f>
        <v>1124</v>
      </c>
      <c r="G25" s="183"/>
    </row>
    <row r="26" spans="1:7">
      <c r="A26" s="177" t="s">
        <v>45</v>
      </c>
      <c r="B26" t="s">
        <v>46</v>
      </c>
      <c r="C26" s="180"/>
      <c r="D26" s="184">
        <v>0</v>
      </c>
      <c r="G26" s="183"/>
    </row>
    <row r="27" spans="1:4">
      <c r="A27" s="177" t="s">
        <v>48</v>
      </c>
      <c r="B27" t="s">
        <v>49</v>
      </c>
      <c r="C27" s="180"/>
      <c r="D27" s="179">
        <v>0</v>
      </c>
    </row>
    <row r="28" spans="1:4">
      <c r="A28" s="177" t="s">
        <v>50</v>
      </c>
      <c r="B28" t="s">
        <v>51</v>
      </c>
      <c r="C28" s="180"/>
      <c r="D28" s="179">
        <v>0</v>
      </c>
    </row>
    <row r="29" spans="1:4">
      <c r="A29" s="177" t="s">
        <v>53</v>
      </c>
      <c r="B29" t="s">
        <v>54</v>
      </c>
      <c r="C29" s="180"/>
      <c r="D29" s="179">
        <v>0</v>
      </c>
    </row>
    <row r="30" spans="1:4">
      <c r="A30" s="177" t="s">
        <v>55</v>
      </c>
      <c r="B30" t="s">
        <v>56</v>
      </c>
      <c r="C30" s="180"/>
      <c r="D30" s="179">
        <v>0</v>
      </c>
    </row>
    <row r="31" spans="1:7">
      <c r="A31" s="177" t="s">
        <v>58</v>
      </c>
      <c r="C31" s="177"/>
      <c r="D31" s="185">
        <f>TRUNC(SUM(D25:D30),2)</f>
        <v>1124</v>
      </c>
      <c r="F31" s="176"/>
      <c r="G31" s="176"/>
    </row>
    <row r="33" spans="1:7">
      <c r="A33" s="186" t="s">
        <v>61</v>
      </c>
      <c r="B33" s="186"/>
      <c r="C33" s="186"/>
      <c r="D33" s="186"/>
      <c r="G33" s="183"/>
    </row>
    <row r="35" spans="1:4">
      <c r="A35" s="176" t="s">
        <v>63</v>
      </c>
      <c r="B35" s="176"/>
      <c r="C35" s="176"/>
      <c r="D35" s="176"/>
    </row>
    <row r="36" spans="1:4">
      <c r="A36" s="177" t="s">
        <v>65</v>
      </c>
      <c r="B36" s="182" t="s">
        <v>66</v>
      </c>
      <c r="C36" s="177" t="s">
        <v>38</v>
      </c>
      <c r="D36" s="177" t="s">
        <v>19</v>
      </c>
    </row>
    <row r="37" spans="1:7">
      <c r="A37" s="177" t="s">
        <v>42</v>
      </c>
      <c r="B37" t="s">
        <v>67</v>
      </c>
      <c r="C37" s="187">
        <f>(1/12)</f>
        <v>0.0833333333333333</v>
      </c>
      <c r="D37" s="185">
        <f>TRUNC($D$31*C37,2)</f>
        <v>93.66</v>
      </c>
      <c r="F37" s="188"/>
      <c r="G37" s="188"/>
    </row>
    <row r="38" spans="1:7">
      <c r="A38" s="177" t="s">
        <v>45</v>
      </c>
      <c r="B38" t="s">
        <v>68</v>
      </c>
      <c r="C38" s="187">
        <f>(((1+1/3)/12))</f>
        <v>0.111111111111111</v>
      </c>
      <c r="D38" s="185">
        <f>TRUNC($D$31*C38,2)</f>
        <v>124.88</v>
      </c>
      <c r="F38" s="188"/>
      <c r="G38" s="188"/>
    </row>
    <row r="39" spans="1:7">
      <c r="A39" s="177" t="s">
        <v>58</v>
      </c>
      <c r="D39" s="185">
        <f>TRUNC((SUM(D37:D38)),2)</f>
        <v>218.54</v>
      </c>
      <c r="F39" s="188"/>
      <c r="G39" s="188"/>
    </row>
    <row r="40" ht="15.75" spans="4:7">
      <c r="D40" s="185"/>
      <c r="F40" s="188"/>
      <c r="G40" s="188"/>
    </row>
    <row r="41" ht="16.5" spans="1:7">
      <c r="A41" s="189" t="s">
        <v>201</v>
      </c>
      <c r="B41" s="189"/>
      <c r="C41" s="190" t="s">
        <v>202</v>
      </c>
      <c r="D41" s="191">
        <f>D31</f>
        <v>1124</v>
      </c>
      <c r="F41" s="188"/>
      <c r="G41" s="188"/>
    </row>
    <row r="42" ht="16.5" spans="1:7">
      <c r="A42" s="189"/>
      <c r="B42" s="189"/>
      <c r="C42" s="192" t="s">
        <v>203</v>
      </c>
      <c r="D42" s="191">
        <f>D39</f>
        <v>218.54</v>
      </c>
      <c r="F42" s="188"/>
      <c r="G42" s="188"/>
    </row>
    <row r="43" ht="16.5" spans="1:7">
      <c r="A43" s="189"/>
      <c r="B43" s="189"/>
      <c r="C43" s="190" t="s">
        <v>204</v>
      </c>
      <c r="D43" s="193">
        <f>TRUNC((SUM(D41:D42)),2)</f>
        <v>1342.54</v>
      </c>
      <c r="F43" s="188"/>
      <c r="G43" s="188"/>
    </row>
    <row r="44" ht="15.75" spans="1:7">
      <c r="A44" s="177"/>
      <c r="C44" s="194"/>
      <c r="D44" s="185"/>
      <c r="F44" s="188"/>
      <c r="G44" s="188"/>
    </row>
    <row r="45" spans="1:4">
      <c r="A45" s="176" t="s">
        <v>77</v>
      </c>
      <c r="B45" s="176"/>
      <c r="C45" s="176"/>
      <c r="D45" s="176"/>
    </row>
    <row r="46" spans="1:4">
      <c r="A46" s="177" t="s">
        <v>78</v>
      </c>
      <c r="B46" s="182" t="s">
        <v>79</v>
      </c>
      <c r="C46" s="177" t="s">
        <v>38</v>
      </c>
      <c r="D46" s="177" t="s">
        <v>80</v>
      </c>
    </row>
    <row r="47" spans="1:4">
      <c r="A47" s="177" t="s">
        <v>42</v>
      </c>
      <c r="B47" t="s">
        <v>81</v>
      </c>
      <c r="C47" s="187">
        <v>0.2</v>
      </c>
      <c r="D47" s="185">
        <f t="shared" ref="D47:D54" si="0">TRUNC(($D$43*C47),2)</f>
        <v>268.5</v>
      </c>
    </row>
    <row r="48" spans="1:4">
      <c r="A48" s="177" t="s">
        <v>45</v>
      </c>
      <c r="B48" t="s">
        <v>82</v>
      </c>
      <c r="C48" s="187">
        <v>0.025</v>
      </c>
      <c r="D48" s="185">
        <f t="shared" si="0"/>
        <v>33.56</v>
      </c>
    </row>
    <row r="49" spans="1:4">
      <c r="A49" s="177" t="s">
        <v>48</v>
      </c>
      <c r="B49" t="s">
        <v>205</v>
      </c>
      <c r="C49" s="195">
        <v>0.06</v>
      </c>
      <c r="D49" s="179">
        <f t="shared" si="0"/>
        <v>80.55</v>
      </c>
    </row>
    <row r="50" spans="1:4">
      <c r="A50" s="177" t="s">
        <v>50</v>
      </c>
      <c r="B50" t="s">
        <v>84</v>
      </c>
      <c r="C50" s="187">
        <v>0.015</v>
      </c>
      <c r="D50" s="185">
        <f t="shared" si="0"/>
        <v>20.13</v>
      </c>
    </row>
    <row r="51" spans="1:4">
      <c r="A51" s="177" t="s">
        <v>53</v>
      </c>
      <c r="B51" t="s">
        <v>85</v>
      </c>
      <c r="C51" s="187">
        <v>0.01</v>
      </c>
      <c r="D51" s="185">
        <f t="shared" si="0"/>
        <v>13.42</v>
      </c>
    </row>
    <row r="52" spans="1:4">
      <c r="A52" s="177" t="s">
        <v>55</v>
      </c>
      <c r="B52" t="s">
        <v>86</v>
      </c>
      <c r="C52" s="187">
        <v>0.006</v>
      </c>
      <c r="D52" s="185">
        <f t="shared" si="0"/>
        <v>8.05</v>
      </c>
    </row>
    <row r="53" spans="1:4">
      <c r="A53" s="177" t="s">
        <v>87</v>
      </c>
      <c r="B53" t="s">
        <v>88</v>
      </c>
      <c r="C53" s="187">
        <v>0.002</v>
      </c>
      <c r="D53" s="185">
        <f t="shared" si="0"/>
        <v>2.68</v>
      </c>
    </row>
    <row r="54" spans="1:4">
      <c r="A54" s="177" t="s">
        <v>89</v>
      </c>
      <c r="B54" t="s">
        <v>90</v>
      </c>
      <c r="C54" s="187">
        <v>0.08</v>
      </c>
      <c r="D54" s="185">
        <f t="shared" si="0"/>
        <v>107.4</v>
      </c>
    </row>
    <row r="55" spans="1:4">
      <c r="A55" s="177" t="s">
        <v>58</v>
      </c>
      <c r="C55" s="194">
        <f>SUM(C47:C54)</f>
        <v>0.398</v>
      </c>
      <c r="D55" s="185">
        <f>TRUNC((SUM(D47:D54)),2)</f>
        <v>534.29</v>
      </c>
    </row>
    <row r="56" spans="1:4">
      <c r="A56" s="177"/>
      <c r="C56" s="194"/>
      <c r="D56" s="185"/>
    </row>
    <row r="57" spans="1:4">
      <c r="A57" s="176" t="s">
        <v>95</v>
      </c>
      <c r="B57" s="176"/>
      <c r="C57" s="176"/>
      <c r="D57" s="176"/>
    </row>
    <row r="58" spans="1:4">
      <c r="A58" s="177" t="s">
        <v>96</v>
      </c>
      <c r="B58" s="182" t="s">
        <v>97</v>
      </c>
      <c r="C58" s="177" t="s">
        <v>18</v>
      </c>
      <c r="D58" s="177" t="s">
        <v>19</v>
      </c>
    </row>
    <row r="59" spans="1:4">
      <c r="A59" s="177" t="s">
        <v>42</v>
      </c>
      <c r="B59" t="s">
        <v>98</v>
      </c>
      <c r="C59" s="178"/>
      <c r="D59" s="184">
        <v>0</v>
      </c>
    </row>
    <row r="60" spans="1:4">
      <c r="A60" s="177" t="s">
        <v>45</v>
      </c>
      <c r="B60" t="s">
        <v>99</v>
      </c>
      <c r="C60" s="178" t="str">
        <f>C9</f>
        <v>CCT PB000047/2021</v>
      </c>
      <c r="D60" s="179">
        <f>TRUNC((((22*18))-(((22*18))*0.2)),2)</f>
        <v>316.8</v>
      </c>
    </row>
    <row r="61" spans="1:4">
      <c r="A61" s="177" t="s">
        <v>48</v>
      </c>
      <c r="B61" t="s">
        <v>100</v>
      </c>
      <c r="C61" s="178"/>
      <c r="D61" s="179">
        <v>0</v>
      </c>
    </row>
    <row r="62" spans="1:6">
      <c r="A62" s="196" t="s">
        <v>50</v>
      </c>
      <c r="B62" s="197" t="s">
        <v>206</v>
      </c>
      <c r="C62" s="198"/>
      <c r="D62" s="198">
        <v>0</v>
      </c>
      <c r="F62" s="197"/>
    </row>
    <row r="63" spans="1:4">
      <c r="A63" s="177" t="s">
        <v>53</v>
      </c>
      <c r="B63" s="182" t="s">
        <v>207</v>
      </c>
      <c r="C63" s="178" t="str">
        <f>C60</f>
        <v>CCT PB000047/2021</v>
      </c>
      <c r="D63" s="179">
        <v>15</v>
      </c>
    </row>
    <row r="64" spans="1:4">
      <c r="A64" s="177" t="s">
        <v>55</v>
      </c>
      <c r="B64" s="199" t="s">
        <v>208</v>
      </c>
      <c r="C64" s="198" t="str">
        <f>C60</f>
        <v>CCT PB000047/2021</v>
      </c>
      <c r="D64" s="179">
        <v>5</v>
      </c>
    </row>
    <row r="65" spans="1:4">
      <c r="A65" s="177" t="s">
        <v>58</v>
      </c>
      <c r="D65" s="185">
        <f>TRUNC((SUM(D59:D64)),2)</f>
        <v>336.8</v>
      </c>
    </row>
    <row r="66" spans="1:4">
      <c r="A66" s="177"/>
      <c r="D66" s="185"/>
    </row>
    <row r="67" spans="1:4">
      <c r="A67" s="176" t="s">
        <v>105</v>
      </c>
      <c r="B67" s="176"/>
      <c r="C67" s="176"/>
      <c r="D67" s="176"/>
    </row>
    <row r="68" spans="1:4">
      <c r="A68" s="177" t="s">
        <v>106</v>
      </c>
      <c r="B68" s="182" t="s">
        <v>107</v>
      </c>
      <c r="C68" s="177" t="s">
        <v>18</v>
      </c>
      <c r="D68" s="177" t="s">
        <v>19</v>
      </c>
    </row>
    <row r="69" spans="1:4">
      <c r="A69" s="177" t="s">
        <v>65</v>
      </c>
      <c r="B69" t="s">
        <v>66</v>
      </c>
      <c r="C69" s="177"/>
      <c r="D69" s="185">
        <f>D39</f>
        <v>218.54</v>
      </c>
    </row>
    <row r="70" spans="1:4">
      <c r="A70" s="177" t="s">
        <v>78</v>
      </c>
      <c r="B70" t="s">
        <v>79</v>
      </c>
      <c r="C70" s="177"/>
      <c r="D70" s="185">
        <f>D55</f>
        <v>534.29</v>
      </c>
    </row>
    <row r="71" spans="1:4">
      <c r="A71" s="177" t="s">
        <v>96</v>
      </c>
      <c r="B71" t="s">
        <v>97</v>
      </c>
      <c r="C71" s="177"/>
      <c r="D71" s="185">
        <f>D65</f>
        <v>336.8</v>
      </c>
    </row>
    <row r="72" spans="1:4">
      <c r="A72" s="177" t="s">
        <v>58</v>
      </c>
      <c r="C72" s="177"/>
      <c r="D72" s="185">
        <f>TRUNC((SUM(D69:D71)),2)</f>
        <v>1089.63</v>
      </c>
    </row>
    <row r="74" spans="1:4">
      <c r="A74" s="160" t="s">
        <v>108</v>
      </c>
      <c r="B74" s="160"/>
      <c r="C74" s="160"/>
      <c r="D74" s="160"/>
    </row>
    <row r="75" spans="1:4">
      <c r="A75" s="177" t="s">
        <v>109</v>
      </c>
      <c r="B75" s="182" t="s">
        <v>110</v>
      </c>
      <c r="C75" s="177" t="s">
        <v>38</v>
      </c>
      <c r="D75" s="177" t="s">
        <v>19</v>
      </c>
    </row>
    <row r="76" spans="1:4">
      <c r="A76" s="177" t="s">
        <v>42</v>
      </c>
      <c r="B76" t="s">
        <v>111</v>
      </c>
      <c r="C76" s="195">
        <f>((1/12)*5%)</f>
        <v>0.00416666666666667</v>
      </c>
      <c r="D76" s="200">
        <f>TRUNC(($D$31*C76),2)</f>
        <v>4.68</v>
      </c>
    </row>
    <row r="77" spans="1:4">
      <c r="A77" s="177" t="s">
        <v>45</v>
      </c>
      <c r="B77" t="s">
        <v>112</v>
      </c>
      <c r="C77" s="201">
        <v>0.08</v>
      </c>
      <c r="D77" s="202">
        <f>TRUNC(($D$76*C77),2)</f>
        <v>0.37</v>
      </c>
    </row>
    <row r="78" ht="30" spans="1:4">
      <c r="A78" s="177" t="s">
        <v>48</v>
      </c>
      <c r="B78" s="203" t="s">
        <v>113</v>
      </c>
      <c r="C78" s="204">
        <f>(0.08*0.4*0.05)</f>
        <v>0.0016</v>
      </c>
      <c r="D78" s="200">
        <f>TRUNC(($D$31*C78),2)</f>
        <v>1.79</v>
      </c>
    </row>
    <row r="79" spans="1:4">
      <c r="A79" s="177" t="s">
        <v>50</v>
      </c>
      <c r="B79" t="s">
        <v>114</v>
      </c>
      <c r="C79" s="205">
        <f>(((7/30)/12)*0.95)</f>
        <v>0.0184722222222222</v>
      </c>
      <c r="D79" s="206">
        <f>TRUNC(($D$31*C79),2)</f>
        <v>20.76</v>
      </c>
    </row>
    <row r="80" ht="30" spans="1:4">
      <c r="A80" s="177" t="s">
        <v>53</v>
      </c>
      <c r="B80" s="203" t="s">
        <v>209</v>
      </c>
      <c r="C80" s="204">
        <f>C55</f>
        <v>0.398</v>
      </c>
      <c r="D80" s="200">
        <f>TRUNC(($D$79*C80),2)</f>
        <v>8.26</v>
      </c>
    </row>
    <row r="81" ht="30" spans="1:4">
      <c r="A81" s="177" t="s">
        <v>55</v>
      </c>
      <c r="B81" s="203" t="s">
        <v>115</v>
      </c>
      <c r="C81" s="204">
        <f>(0.08*0.4*0.95)</f>
        <v>0.0304</v>
      </c>
      <c r="D81" s="200">
        <f>TRUNC(($D$31*C81),2)</f>
        <v>34.16</v>
      </c>
    </row>
    <row r="82" spans="1:4">
      <c r="A82" s="177" t="s">
        <v>58</v>
      </c>
      <c r="C82" s="201">
        <f>SUM(C76:C81)</f>
        <v>0.532638888888889</v>
      </c>
      <c r="D82" s="185">
        <f>TRUNC((SUM(D76:D81)),2)</f>
        <v>70.02</v>
      </c>
    </row>
    <row r="83" ht="15.75" spans="1:4">
      <c r="A83" s="177"/>
      <c r="D83" s="185"/>
    </row>
    <row r="84" ht="16.5" spans="1:4">
      <c r="A84" s="189" t="s">
        <v>210</v>
      </c>
      <c r="B84" s="189"/>
      <c r="C84" s="190" t="s">
        <v>202</v>
      </c>
      <c r="D84" s="191">
        <f>D31</f>
        <v>1124</v>
      </c>
    </row>
    <row r="85" ht="16.5" spans="1:4">
      <c r="A85" s="189"/>
      <c r="B85" s="189"/>
      <c r="C85" s="192" t="s">
        <v>211</v>
      </c>
      <c r="D85" s="191">
        <f>D72</f>
        <v>1089.63</v>
      </c>
    </row>
    <row r="86" ht="16.5" spans="1:4">
      <c r="A86" s="189"/>
      <c r="B86" s="189"/>
      <c r="C86" s="190" t="s">
        <v>212</v>
      </c>
      <c r="D86" s="191">
        <f>D82</f>
        <v>70.02</v>
      </c>
    </row>
    <row r="87" ht="16.5" spans="1:4">
      <c r="A87" s="189"/>
      <c r="B87" s="189"/>
      <c r="C87" s="192" t="s">
        <v>204</v>
      </c>
      <c r="D87" s="193">
        <f>TRUNC((SUM(D84:D86)),2)</f>
        <v>2283.65</v>
      </c>
    </row>
    <row r="88" ht="15.75" spans="1:4">
      <c r="A88" s="177"/>
      <c r="D88" s="185"/>
    </row>
    <row r="89" spans="1:4">
      <c r="A89" s="207" t="s">
        <v>127</v>
      </c>
      <c r="B89" s="207"/>
      <c r="C89" s="207"/>
      <c r="D89" s="207"/>
    </row>
    <row r="90" spans="1:4">
      <c r="A90" s="176" t="s">
        <v>128</v>
      </c>
      <c r="B90" s="176"/>
      <c r="C90" s="176"/>
      <c r="D90" s="176"/>
    </row>
    <row r="91" spans="1:4">
      <c r="A91" s="177" t="s">
        <v>129</v>
      </c>
      <c r="B91" s="182" t="s">
        <v>130</v>
      </c>
      <c r="C91" s="177" t="s">
        <v>38</v>
      </c>
      <c r="D91" s="177" t="s">
        <v>19</v>
      </c>
    </row>
    <row r="92" spans="1:4">
      <c r="A92" s="177" t="s">
        <v>42</v>
      </c>
      <c r="B92" t="s">
        <v>213</v>
      </c>
      <c r="C92" s="201">
        <f>(((1+1/3)/12)/12)+((1/12)/12)</f>
        <v>0.0162037037037037</v>
      </c>
      <c r="D92" s="185">
        <f>TRUNC(($D$87*C92),2)</f>
        <v>37</v>
      </c>
    </row>
    <row r="93" spans="1:4">
      <c r="A93" s="177" t="s">
        <v>45</v>
      </c>
      <c r="B93" t="s">
        <v>133</v>
      </c>
      <c r="C93" s="195">
        <f>((2/30)/12)</f>
        <v>0.00555555555555556</v>
      </c>
      <c r="D93" s="198">
        <f t="shared" ref="D92:D96" si="1">TRUNC(($D$87*C93),2)</f>
        <v>12.68</v>
      </c>
    </row>
    <row r="94" spans="1:4">
      <c r="A94" s="177" t="s">
        <v>48</v>
      </c>
      <c r="B94" t="s">
        <v>134</v>
      </c>
      <c r="C94" s="195">
        <f>((5/30)/12)*0.02</f>
        <v>0.000277777777777778</v>
      </c>
      <c r="D94" s="198">
        <f t="shared" si="1"/>
        <v>0.63</v>
      </c>
    </row>
    <row r="95" spans="1:4">
      <c r="A95" s="196" t="s">
        <v>50</v>
      </c>
      <c r="B95" s="203" t="s">
        <v>135</v>
      </c>
      <c r="C95" s="204">
        <f>((15/30)/12)*0.08</f>
        <v>0.00333333333333333</v>
      </c>
      <c r="D95" s="198">
        <f t="shared" si="1"/>
        <v>7.61</v>
      </c>
    </row>
    <row r="96" spans="1:4">
      <c r="A96" s="177" t="s">
        <v>53</v>
      </c>
      <c r="B96" t="s">
        <v>136</v>
      </c>
      <c r="C96" s="195">
        <f>((1+1/3)/12)*0.03*((4/12))</f>
        <v>0.00111111111111111</v>
      </c>
      <c r="D96" s="198">
        <f t="shared" si="1"/>
        <v>2.53</v>
      </c>
    </row>
    <row r="97" spans="1:4">
      <c r="A97" s="177" t="s">
        <v>55</v>
      </c>
      <c r="B97" s="203" t="s">
        <v>214</v>
      </c>
      <c r="C97" s="208">
        <v>0</v>
      </c>
      <c r="D97" s="198">
        <f>TRUNC($D$87*C97)</f>
        <v>0</v>
      </c>
    </row>
    <row r="98" spans="1:4">
      <c r="A98" s="177" t="s">
        <v>58</v>
      </c>
      <c r="C98" s="201">
        <f>SUM(C92:C97)</f>
        <v>0.0264814814814815</v>
      </c>
      <c r="D98" s="185">
        <f>TRUNC((SUM(D92:D97)),2)</f>
        <v>60.45</v>
      </c>
    </row>
    <row r="99" spans="1:4">
      <c r="A99" s="177"/>
      <c r="C99" s="177"/>
      <c r="D99" s="185"/>
    </row>
    <row r="100" spans="1:4">
      <c r="A100" s="176" t="s">
        <v>144</v>
      </c>
      <c r="B100" s="176"/>
      <c r="C100" s="176"/>
      <c r="D100" s="176"/>
    </row>
    <row r="101" spans="1:4">
      <c r="A101" s="177" t="s">
        <v>145</v>
      </c>
      <c r="B101" s="182" t="s">
        <v>146</v>
      </c>
      <c r="C101" s="177" t="s">
        <v>18</v>
      </c>
      <c r="D101" s="177" t="s">
        <v>19</v>
      </c>
    </row>
    <row r="102" ht="75" spans="1:4">
      <c r="A102" s="196" t="s">
        <v>42</v>
      </c>
      <c r="B102" s="209" t="s">
        <v>147</v>
      </c>
      <c r="C102" s="210" t="s">
        <v>215</v>
      </c>
      <c r="D102" s="211" t="s">
        <v>216</v>
      </c>
    </row>
    <row r="103" ht="30" spans="1:4">
      <c r="A103" s="177" t="s">
        <v>58</v>
      </c>
      <c r="C103" s="212"/>
      <c r="D103" s="213" t="str">
        <f>D102</f>
        <v>*=TRUNCAR(($D$86/220)*(1*(365/12))/2)</v>
      </c>
    </row>
    <row r="105" spans="1:4">
      <c r="A105" s="176" t="s">
        <v>148</v>
      </c>
      <c r="B105" s="176"/>
      <c r="C105" s="176"/>
      <c r="D105" s="176"/>
    </row>
    <row r="106" spans="1:4">
      <c r="A106" s="177" t="s">
        <v>149</v>
      </c>
      <c r="B106" s="182" t="s">
        <v>150</v>
      </c>
      <c r="C106" s="177" t="s">
        <v>18</v>
      </c>
      <c r="D106" s="177" t="s">
        <v>19</v>
      </c>
    </row>
    <row r="107" spans="1:4">
      <c r="A107" s="177" t="s">
        <v>129</v>
      </c>
      <c r="B107" t="s">
        <v>130</v>
      </c>
      <c r="D107" s="179">
        <f>D98</f>
        <v>60.45</v>
      </c>
    </row>
    <row r="108" spans="1:4">
      <c r="A108" s="177" t="s">
        <v>145</v>
      </c>
      <c r="B108" t="s">
        <v>151</v>
      </c>
      <c r="C108" s="182"/>
      <c r="D108" s="214" t="str">
        <f>Submódulo4.260_42[[#Totals],[Valor]]</f>
        <v>*=TRUNCAR(($D$86/220)*(1*(365/12))/2)</v>
      </c>
    </row>
    <row r="109" ht="45" spans="1:4">
      <c r="A109" s="196" t="s">
        <v>58</v>
      </c>
      <c r="B109" s="197"/>
      <c r="C109" s="210" t="s">
        <v>217</v>
      </c>
      <c r="D109" s="215">
        <f>TRUNC((SUM(D107:D108)),2)</f>
        <v>60.45</v>
      </c>
    </row>
    <row r="111" spans="1:4">
      <c r="A111" s="160" t="s">
        <v>152</v>
      </c>
      <c r="B111" s="160"/>
      <c r="C111" s="160"/>
      <c r="D111" s="160"/>
    </row>
    <row r="112" spans="1:4">
      <c r="A112" s="177" t="s">
        <v>153</v>
      </c>
      <c r="B112" s="182" t="s">
        <v>154</v>
      </c>
      <c r="C112" s="177" t="s">
        <v>18</v>
      </c>
      <c r="D112" s="177" t="s">
        <v>19</v>
      </c>
    </row>
    <row r="113" spans="1:4">
      <c r="A113" s="177" t="s">
        <v>42</v>
      </c>
      <c r="B113" t="s">
        <v>218</v>
      </c>
      <c r="D113" s="216">
        <f>Uniformes!G65</f>
        <v>75.87</v>
      </c>
    </row>
    <row r="114" spans="1:4">
      <c r="A114" s="177" t="s">
        <v>45</v>
      </c>
      <c r="B114" t="s">
        <v>219</v>
      </c>
      <c r="D114" s="216">
        <f>EPC!E21</f>
        <v>35.9</v>
      </c>
    </row>
    <row r="115" spans="1:4">
      <c r="A115" s="177" t="s">
        <v>48</v>
      </c>
      <c r="B115" t="s">
        <v>156</v>
      </c>
      <c r="D115" s="216">
        <f>'Materiais e Equipamentos'!E93</f>
        <v>186.23</v>
      </c>
    </row>
    <row r="116" spans="1:4">
      <c r="A116" s="177" t="s">
        <v>50</v>
      </c>
      <c r="B116" t="s">
        <v>157</v>
      </c>
      <c r="D116" s="179">
        <f>'Materiais e Equipamentos'!F123</f>
        <v>2</v>
      </c>
    </row>
    <row r="117" spans="1:4">
      <c r="A117" s="177" t="s">
        <v>53</v>
      </c>
      <c r="B117" t="s">
        <v>220</v>
      </c>
      <c r="D117" s="179">
        <f>H116</f>
        <v>0</v>
      </c>
    </row>
    <row r="118" spans="1:4">
      <c r="A118" s="177" t="s">
        <v>58</v>
      </c>
      <c r="D118" s="185">
        <f>TRUNC(SUM(D113:D117),2)</f>
        <v>300</v>
      </c>
    </row>
    <row r="119" ht="15.75"/>
    <row r="120" ht="16.5" spans="1:4">
      <c r="A120" s="189" t="s">
        <v>221</v>
      </c>
      <c r="B120" s="189"/>
      <c r="C120" s="190" t="s">
        <v>202</v>
      </c>
      <c r="D120" s="191">
        <f>D31</f>
        <v>1124</v>
      </c>
    </row>
    <row r="121" ht="16.5" spans="1:4">
      <c r="A121" s="189"/>
      <c r="B121" s="189"/>
      <c r="C121" s="192" t="s">
        <v>211</v>
      </c>
      <c r="D121" s="191">
        <f>D72</f>
        <v>1089.63</v>
      </c>
    </row>
    <row r="122" ht="16.5" spans="1:4">
      <c r="A122" s="189"/>
      <c r="B122" s="189"/>
      <c r="C122" s="190" t="s">
        <v>212</v>
      </c>
      <c r="D122" s="191">
        <f>D82</f>
        <v>70.02</v>
      </c>
    </row>
    <row r="123" ht="16.5" spans="1:4">
      <c r="A123" s="189"/>
      <c r="B123" s="189"/>
      <c r="C123" s="192" t="s">
        <v>222</v>
      </c>
      <c r="D123" s="191">
        <f>D109</f>
        <v>60.45</v>
      </c>
    </row>
    <row r="124" ht="16.5" spans="1:4">
      <c r="A124" s="189"/>
      <c r="B124" s="189"/>
      <c r="C124" s="190" t="s">
        <v>223</v>
      </c>
      <c r="D124" s="191">
        <f>D118</f>
        <v>300</v>
      </c>
    </row>
    <row r="125" ht="16.5" spans="1:4">
      <c r="A125" s="189"/>
      <c r="B125" s="189"/>
      <c r="C125" s="192" t="s">
        <v>204</v>
      </c>
      <c r="D125" s="193">
        <f>TRUNC((SUM(D120:D124)),2)</f>
        <v>2644.1</v>
      </c>
    </row>
    <row r="126" ht="15.75"/>
    <row r="127" spans="1:4">
      <c r="A127" s="160" t="s">
        <v>164</v>
      </c>
      <c r="B127" s="160"/>
      <c r="C127" s="160"/>
      <c r="D127" s="160"/>
    </row>
    <row r="128" ht="15.75" spans="1:7">
      <c r="A128" s="177" t="s">
        <v>165</v>
      </c>
      <c r="B128" t="s">
        <v>166</v>
      </c>
      <c r="C128" s="177" t="s">
        <v>38</v>
      </c>
      <c r="D128" s="177" t="s">
        <v>19</v>
      </c>
      <c r="F128" s="217" t="s">
        <v>224</v>
      </c>
      <c r="G128" s="217"/>
    </row>
    <row r="129" ht="15.75" spans="1:7">
      <c r="A129" s="177" t="s">
        <v>42</v>
      </c>
      <c r="B129" t="s">
        <v>167</v>
      </c>
      <c r="C129" s="218">
        <v>0.044</v>
      </c>
      <c r="D129" s="216">
        <f>TRUNC(($D$125*C129),2)</f>
        <v>116.34</v>
      </c>
      <c r="F129" s="219" t="s">
        <v>225</v>
      </c>
      <c r="G129" s="204">
        <f>C131</f>
        <v>0.0865</v>
      </c>
    </row>
    <row r="130" ht="15.75" spans="1:7">
      <c r="A130" s="177" t="s">
        <v>45</v>
      </c>
      <c r="B130" t="s">
        <v>59</v>
      </c>
      <c r="C130" s="218">
        <v>0.0413</v>
      </c>
      <c r="D130" s="216">
        <f>TRUNC((C130*(D125+D129)),2)</f>
        <v>114</v>
      </c>
      <c r="F130" s="220" t="s">
        <v>226</v>
      </c>
      <c r="G130" s="221">
        <f>TRUNC(SUM(D125,D129,D130),2)</f>
        <v>2874.44</v>
      </c>
    </row>
    <row r="131" ht="15.75" spans="1:7">
      <c r="A131" s="177" t="s">
        <v>48</v>
      </c>
      <c r="B131" t="s">
        <v>168</v>
      </c>
      <c r="C131" s="218">
        <f>SUM(C132:C134)</f>
        <v>0.0865</v>
      </c>
      <c r="D131" s="216">
        <f>TRUNC((SUM(D132:D134)),2)</f>
        <v>272.17</v>
      </c>
      <c r="F131" s="219" t="s">
        <v>227</v>
      </c>
      <c r="G131" s="222">
        <f>(100-8.65)/100</f>
        <v>0.9135</v>
      </c>
    </row>
    <row r="132" ht="15.75" spans="1:7">
      <c r="A132" s="177"/>
      <c r="B132" t="s">
        <v>228</v>
      </c>
      <c r="C132" s="195">
        <v>0.0065</v>
      </c>
      <c r="D132" s="179">
        <f t="shared" ref="D132:D134" si="2">TRUNC(($G$132*C132),2)</f>
        <v>20.45</v>
      </c>
      <c r="F132" s="220" t="s">
        <v>224</v>
      </c>
      <c r="G132" s="221">
        <f>TRUNC((G130/G131),2)</f>
        <v>3146.62</v>
      </c>
    </row>
    <row r="133" ht="15.75" spans="1:4">
      <c r="A133" s="177"/>
      <c r="B133" t="s">
        <v>229</v>
      </c>
      <c r="C133" s="195">
        <v>0.03</v>
      </c>
      <c r="D133" s="179">
        <f t="shared" si="2"/>
        <v>94.39</v>
      </c>
    </row>
    <row r="134" spans="1:4">
      <c r="A134" s="177"/>
      <c r="B134" t="s">
        <v>230</v>
      </c>
      <c r="C134" s="195">
        <v>0.05</v>
      </c>
      <c r="D134" s="179">
        <f t="shared" si="2"/>
        <v>157.33</v>
      </c>
    </row>
    <row r="135" spans="1:4">
      <c r="A135" s="177" t="s">
        <v>58</v>
      </c>
      <c r="C135" s="223"/>
      <c r="D135" s="185">
        <f>TRUNC(SUM(D129:D131),2)</f>
        <v>502.51</v>
      </c>
    </row>
    <row r="136" spans="1:4">
      <c r="A136" s="177"/>
      <c r="C136" s="223"/>
      <c r="D136" s="185"/>
    </row>
    <row r="138" spans="1:4">
      <c r="A138" s="160" t="s">
        <v>172</v>
      </c>
      <c r="B138" s="160"/>
      <c r="C138" s="160"/>
      <c r="D138" s="160"/>
    </row>
    <row r="139" spans="1:4">
      <c r="A139" s="177" t="s">
        <v>16</v>
      </c>
      <c r="B139" s="177" t="s">
        <v>173</v>
      </c>
      <c r="C139" s="177" t="s">
        <v>102</v>
      </c>
      <c r="D139" s="177" t="s">
        <v>19</v>
      </c>
    </row>
    <row r="140" spans="1:4">
      <c r="A140" s="177" t="s">
        <v>42</v>
      </c>
      <c r="B140" t="s">
        <v>36</v>
      </c>
      <c r="D140" s="185">
        <f>D31</f>
        <v>1124</v>
      </c>
    </row>
    <row r="141" spans="1:4">
      <c r="A141" s="177" t="s">
        <v>45</v>
      </c>
      <c r="B141" t="s">
        <v>61</v>
      </c>
      <c r="D141" s="185">
        <f>D72</f>
        <v>1089.63</v>
      </c>
    </row>
    <row r="142" spans="1:4">
      <c r="A142" s="177" t="s">
        <v>48</v>
      </c>
      <c r="B142" t="s">
        <v>108</v>
      </c>
      <c r="D142" s="185">
        <f>D82</f>
        <v>70.02</v>
      </c>
    </row>
    <row r="143" spans="1:4">
      <c r="A143" s="177" t="s">
        <v>50</v>
      </c>
      <c r="B143" t="s">
        <v>174</v>
      </c>
      <c r="D143" s="185">
        <f>D109</f>
        <v>60.45</v>
      </c>
    </row>
    <row r="144" spans="1:4">
      <c r="A144" s="177" t="s">
        <v>53</v>
      </c>
      <c r="B144" t="s">
        <v>152</v>
      </c>
      <c r="D144" s="185">
        <f>D118</f>
        <v>300</v>
      </c>
    </row>
    <row r="145" spans="2:4">
      <c r="B145" s="224" t="s">
        <v>175</v>
      </c>
      <c r="D145" s="185">
        <f>SUM(D140:D144)</f>
        <v>2644.1</v>
      </c>
    </row>
    <row r="146" spans="1:4">
      <c r="A146" s="177" t="s">
        <v>55</v>
      </c>
      <c r="B146" t="s">
        <v>164</v>
      </c>
      <c r="D146" s="185">
        <f>D135</f>
        <v>502.51</v>
      </c>
    </row>
    <row r="147" spans="1:4">
      <c r="A147" s="225"/>
      <c r="B147" s="226" t="s">
        <v>231</v>
      </c>
      <c r="C147" s="225"/>
      <c r="D147" s="227">
        <f>TRUNC((SUM(D140:D144)+D146),2)</f>
        <v>3146.61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" sqref="B1:E22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95" t="s">
        <v>247</v>
      </c>
      <c r="C1" s="96"/>
      <c r="D1" s="96"/>
      <c r="E1" s="97"/>
      <c r="F1" s="8"/>
      <c r="G1" s="8"/>
      <c r="H1" s="8"/>
      <c r="I1" s="8"/>
      <c r="J1" s="8"/>
    </row>
    <row r="2" ht="33" spans="2:10">
      <c r="B2" s="98" t="s">
        <v>248</v>
      </c>
      <c r="C2" s="99" t="s">
        <v>249</v>
      </c>
      <c r="D2" s="100" t="s">
        <v>250</v>
      </c>
      <c r="E2" s="101"/>
      <c r="F2" s="8"/>
      <c r="G2" s="8"/>
      <c r="H2" s="8"/>
      <c r="I2" s="8"/>
      <c r="J2" s="8"/>
    </row>
    <row r="3" ht="17.25" spans="2:10">
      <c r="B3" s="102" t="s">
        <v>251</v>
      </c>
      <c r="C3" s="103" t="s">
        <v>252</v>
      </c>
      <c r="D3" s="104" t="s">
        <v>253</v>
      </c>
      <c r="E3" s="105"/>
      <c r="F3" s="8"/>
      <c r="G3" s="8"/>
      <c r="H3" s="8"/>
      <c r="I3" s="8"/>
      <c r="J3" s="8"/>
    </row>
    <row r="4" ht="17.25" spans="2:10">
      <c r="B4" s="106">
        <f>RESUMO!D7</f>
        <v>250</v>
      </c>
      <c r="C4" s="107">
        <f>E19</f>
        <v>190.08</v>
      </c>
      <c r="D4" s="108">
        <f>TRUNC((B4*C4),2)</f>
        <v>47520</v>
      </c>
      <c r="E4" s="109"/>
      <c r="F4" s="8"/>
      <c r="G4" s="8"/>
      <c r="H4" s="110"/>
      <c r="I4" s="110"/>
      <c r="J4" s="110"/>
    </row>
    <row r="5" ht="17.25" spans="2:10">
      <c r="B5" s="111"/>
      <c r="C5" s="112"/>
      <c r="D5" s="112"/>
      <c r="E5" s="113"/>
      <c r="F5" s="8"/>
      <c r="G5" s="8"/>
      <c r="H5" s="110"/>
      <c r="I5" s="145" t="s">
        <v>224</v>
      </c>
      <c r="J5" s="146"/>
    </row>
    <row r="6" ht="17.25" spans="2:10">
      <c r="B6" s="111"/>
      <c r="C6" s="112"/>
      <c r="D6" s="112"/>
      <c r="E6" s="113"/>
      <c r="F6" s="8"/>
      <c r="G6" s="8"/>
      <c r="H6" s="110"/>
      <c r="I6" s="147" t="s">
        <v>225</v>
      </c>
      <c r="J6" s="148">
        <f>D18</f>
        <v>0.0865</v>
      </c>
    </row>
    <row r="7" ht="16.5" spans="2:10">
      <c r="B7" s="95" t="s">
        <v>254</v>
      </c>
      <c r="C7" s="96"/>
      <c r="D7" s="96"/>
      <c r="E7" s="97"/>
      <c r="F7" s="8"/>
      <c r="G7" s="8"/>
      <c r="H7" s="110"/>
      <c r="I7" s="149" t="s">
        <v>255</v>
      </c>
      <c r="J7" s="150">
        <f>E13</f>
        <v>173.64</v>
      </c>
    </row>
    <row r="8" ht="17.25" spans="2:10">
      <c r="B8" s="99" t="s">
        <v>256</v>
      </c>
      <c r="C8" s="99"/>
      <c r="D8" s="99"/>
      <c r="E8" s="114">
        <v>160</v>
      </c>
      <c r="F8" s="8"/>
      <c r="G8" s="8"/>
      <c r="H8" s="110"/>
      <c r="I8" s="147" t="s">
        <v>257</v>
      </c>
      <c r="J8" s="151">
        <f>(1-J6)</f>
        <v>0.9135</v>
      </c>
    </row>
    <row r="9" ht="16.5" spans="2:10">
      <c r="B9" s="115" t="s">
        <v>258</v>
      </c>
      <c r="C9" s="116"/>
      <c r="D9" s="117" t="s">
        <v>259</v>
      </c>
      <c r="E9" s="118" t="s">
        <v>260</v>
      </c>
      <c r="F9" s="8"/>
      <c r="G9" s="8"/>
      <c r="H9" s="110"/>
      <c r="I9" s="152"/>
      <c r="J9" s="152"/>
    </row>
    <row r="10" ht="15.75" spans="2:10">
      <c r="B10" s="119" t="s">
        <v>261</v>
      </c>
      <c r="C10" s="120"/>
      <c r="D10" s="121">
        <f>'Motorista Interestadual'!C129</f>
        <v>0.044</v>
      </c>
      <c r="E10" s="122">
        <f>TRUNC((E8*D10),2)</f>
        <v>7.04</v>
      </c>
      <c r="F10" s="8"/>
      <c r="G10" s="8"/>
      <c r="H10" s="110"/>
      <c r="I10" s="152"/>
      <c r="J10" s="152"/>
    </row>
    <row r="11" ht="16.5" spans="2:10">
      <c r="B11" s="123" t="s">
        <v>262</v>
      </c>
      <c r="C11" s="124"/>
      <c r="D11" s="121">
        <f>'Motorista Interestadual'!C130</f>
        <v>0.0413</v>
      </c>
      <c r="E11" s="122">
        <f>TRUNC((E8*D11),2)</f>
        <v>6.6</v>
      </c>
      <c r="F11" s="8"/>
      <c r="G11" s="8"/>
      <c r="H11" s="110"/>
      <c r="I11" s="110"/>
      <c r="J11" s="110"/>
    </row>
    <row r="12" ht="17.25" spans="2:10">
      <c r="B12" s="125" t="s">
        <v>263</v>
      </c>
      <c r="C12" s="100"/>
      <c r="D12" s="101"/>
      <c r="E12" s="126">
        <f>TRUNC((SUM(E10:E11)),2)</f>
        <v>13.64</v>
      </c>
      <c r="F12" s="8"/>
      <c r="G12" s="8"/>
      <c r="H12" s="110"/>
      <c r="I12" s="110"/>
      <c r="J12" s="110"/>
    </row>
    <row r="13" ht="17.25" spans="2:10">
      <c r="B13" s="127" t="s">
        <v>204</v>
      </c>
      <c r="C13" s="128"/>
      <c r="D13" s="129"/>
      <c r="E13" s="126">
        <f>TRUNC((E8+E12),2)</f>
        <v>173.64</v>
      </c>
      <c r="F13" s="8"/>
      <c r="G13" s="8"/>
      <c r="H13" s="110"/>
      <c r="I13" s="110"/>
      <c r="J13" s="110"/>
    </row>
    <row r="14" ht="16.5" spans="2:10">
      <c r="B14" s="130" t="s">
        <v>264</v>
      </c>
      <c r="C14" s="131"/>
      <c r="D14" s="132" t="s">
        <v>259</v>
      </c>
      <c r="E14" s="133" t="s">
        <v>265</v>
      </c>
      <c r="F14" s="8"/>
      <c r="G14" s="8"/>
      <c r="H14" s="8"/>
      <c r="I14" s="8"/>
      <c r="J14" s="8"/>
    </row>
    <row r="15" ht="15.75" spans="2:10">
      <c r="B15" s="119" t="s">
        <v>64</v>
      </c>
      <c r="C15" s="120"/>
      <c r="D15" s="121">
        <f>'Motorista Interestadual'!C132</f>
        <v>0.0065</v>
      </c>
      <c r="E15" s="122">
        <f>(J7/J8)*(D15)</f>
        <v>1.23553366174056</v>
      </c>
      <c r="F15" s="8"/>
      <c r="G15" s="8"/>
      <c r="H15" s="8"/>
      <c r="I15" s="8"/>
      <c r="J15" s="8"/>
    </row>
    <row r="16" ht="15.75" spans="2:10">
      <c r="B16" s="123" t="s">
        <v>62</v>
      </c>
      <c r="C16" s="124"/>
      <c r="D16" s="121">
        <f>'Motorista Interestadual'!C133</f>
        <v>0.03</v>
      </c>
      <c r="E16" s="122">
        <f>(J7/J8)*(D16)</f>
        <v>5.70246305418719</v>
      </c>
      <c r="F16" s="8"/>
      <c r="G16" s="8"/>
      <c r="H16" s="8"/>
      <c r="I16" s="8"/>
      <c r="J16" s="8"/>
    </row>
    <row r="17" ht="15.75" spans="2:10">
      <c r="B17" s="119" t="s">
        <v>60</v>
      </c>
      <c r="C17" s="120"/>
      <c r="D17" s="121">
        <f>'Motorista Interestadual'!C134</f>
        <v>0.05</v>
      </c>
      <c r="E17" s="134">
        <f>(E13/J8)*(D17)</f>
        <v>9.50410509031199</v>
      </c>
      <c r="F17" s="8"/>
      <c r="G17" s="8"/>
      <c r="H17" s="8"/>
      <c r="I17" s="8"/>
      <c r="J17" s="8"/>
    </row>
    <row r="18" ht="16.5" spans="2:10">
      <c r="B18" s="135" t="s">
        <v>225</v>
      </c>
      <c r="C18" s="136"/>
      <c r="D18" s="137">
        <f>SUM(D15:D17)</f>
        <v>0.0865</v>
      </c>
      <c r="E18" s="138">
        <f>SUM(E15:E17)</f>
        <v>16.4421018062397</v>
      </c>
      <c r="F18" s="8"/>
      <c r="G18" s="8"/>
      <c r="H18" s="8"/>
      <c r="I18" s="8"/>
      <c r="J18" s="8"/>
    </row>
    <row r="19" ht="17.25" spans="2:10">
      <c r="B19" s="139" t="s">
        <v>204</v>
      </c>
      <c r="C19" s="140"/>
      <c r="D19" s="141"/>
      <c r="E19" s="142">
        <f>TRUNC((E13+E18),2)</f>
        <v>190.08</v>
      </c>
      <c r="F19" s="8"/>
      <c r="G19" s="8"/>
      <c r="H19" s="8"/>
      <c r="I19" s="8"/>
      <c r="J19" s="8"/>
    </row>
    <row r="20" ht="15.75" spans="2:10">
      <c r="B20" s="143"/>
      <c r="C20" s="143"/>
      <c r="D20" s="143"/>
      <c r="E20" s="143"/>
      <c r="F20" s="8"/>
      <c r="G20" s="8"/>
      <c r="H20" s="8"/>
      <c r="I20" s="8"/>
      <c r="J20" s="8"/>
    </row>
    <row r="21" spans="2:10">
      <c r="B21" s="144" t="s">
        <v>266</v>
      </c>
      <c r="C21" s="144"/>
      <c r="D21" s="144"/>
      <c r="E21" s="144"/>
      <c r="F21" s="8"/>
      <c r="G21" s="8"/>
      <c r="H21" s="8"/>
      <c r="I21" s="8"/>
      <c r="J21" s="8"/>
    </row>
    <row r="22" spans="2:10">
      <c r="B22" s="144" t="s">
        <v>267</v>
      </c>
      <c r="C22" s="144"/>
      <c r="D22" s="144"/>
      <c r="E22" s="144"/>
      <c r="F22" s="8"/>
      <c r="G22" s="8"/>
      <c r="H22" s="8"/>
      <c r="I22" s="8"/>
      <c r="J22" s="8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4"/>
  <sheetViews>
    <sheetView zoomScale="90" zoomScaleNormal="90" topLeftCell="A56" workbookViewId="0">
      <selection activeCell="J53" sqref="J53"/>
    </sheetView>
  </sheetViews>
  <sheetFormatPr defaultColWidth="9.14285714285714" defaultRowHeight="15" outlineLevelCol="7"/>
  <cols>
    <col min="2" max="2" width="13.1619047619048" style="69" customWidth="1"/>
    <col min="3" max="3" width="39.3619047619048" customWidth="1"/>
    <col min="4" max="4" width="9" style="70" customWidth="1"/>
    <col min="5" max="5" width="9.71428571428571" customWidth="1"/>
    <col min="6" max="6" width="12.6952380952381" customWidth="1"/>
    <col min="7" max="7" width="12.2857142857143" customWidth="1"/>
    <col min="8" max="8" width="13.3333333333333" customWidth="1"/>
  </cols>
  <sheetData>
    <row r="1" spans="1:8">
      <c r="A1" s="71" t="s">
        <v>268</v>
      </c>
      <c r="B1" s="72"/>
      <c r="C1" s="71"/>
      <c r="D1" s="73"/>
      <c r="E1" s="71"/>
      <c r="F1" s="71"/>
      <c r="G1" s="71"/>
      <c r="H1" s="71"/>
    </row>
    <row r="2" spans="1:8">
      <c r="A2" s="74" t="s">
        <v>269</v>
      </c>
      <c r="B2" s="75"/>
      <c r="C2" s="74"/>
      <c r="D2" s="76"/>
      <c r="E2" s="74"/>
      <c r="F2" s="74"/>
      <c r="G2" s="74"/>
      <c r="H2" s="74"/>
    </row>
    <row r="3" ht="60" spans="1:8">
      <c r="A3" s="77" t="s">
        <v>270</v>
      </c>
      <c r="B3" s="77" t="s">
        <v>271</v>
      </c>
      <c r="C3" s="77" t="s">
        <v>272</v>
      </c>
      <c r="D3" s="77" t="s">
        <v>273</v>
      </c>
      <c r="E3" s="77" t="s">
        <v>274</v>
      </c>
      <c r="F3" s="77" t="s">
        <v>275</v>
      </c>
      <c r="G3" s="77" t="s">
        <v>276</v>
      </c>
      <c r="H3" s="77" t="s">
        <v>277</v>
      </c>
    </row>
    <row r="4" ht="30" spans="1:8">
      <c r="A4" s="78">
        <v>1</v>
      </c>
      <c r="B4" s="16" t="s">
        <v>278</v>
      </c>
      <c r="C4" s="79" t="s">
        <v>279</v>
      </c>
      <c r="D4" s="16" t="s">
        <v>280</v>
      </c>
      <c r="E4" s="80">
        <v>62.9</v>
      </c>
      <c r="F4" s="16">
        <v>4</v>
      </c>
      <c r="G4" s="81">
        <f t="shared" ref="G4:G10" si="0">TRUNC(F4*E4,2)</f>
        <v>251.6</v>
      </c>
      <c r="H4" s="81">
        <f t="shared" ref="H4:H10" si="1">TRUNC(G4/12,2)</f>
        <v>20.96</v>
      </c>
    </row>
    <row r="5" ht="60" spans="1:8">
      <c r="A5" s="78">
        <v>2</v>
      </c>
      <c r="B5" s="16" t="s">
        <v>281</v>
      </c>
      <c r="C5" s="79" t="s">
        <v>282</v>
      </c>
      <c r="D5" s="16" t="s">
        <v>280</v>
      </c>
      <c r="E5" s="80">
        <v>66.98</v>
      </c>
      <c r="F5" s="16">
        <v>4</v>
      </c>
      <c r="G5" s="81">
        <f t="shared" si="0"/>
        <v>267.92</v>
      </c>
      <c r="H5" s="81">
        <f t="shared" si="1"/>
        <v>22.32</v>
      </c>
    </row>
    <row r="6" ht="60" spans="1:8">
      <c r="A6" s="78">
        <v>3</v>
      </c>
      <c r="B6" s="16" t="s">
        <v>281</v>
      </c>
      <c r="C6" s="79" t="s">
        <v>283</v>
      </c>
      <c r="D6" s="16" t="s">
        <v>280</v>
      </c>
      <c r="E6" s="80">
        <v>24.99</v>
      </c>
      <c r="F6" s="16">
        <v>4</v>
      </c>
      <c r="G6" s="81">
        <f t="shared" si="0"/>
        <v>99.96</v>
      </c>
      <c r="H6" s="81">
        <f t="shared" si="1"/>
        <v>8.33</v>
      </c>
    </row>
    <row r="7" ht="30" spans="1:8">
      <c r="A7" s="78">
        <v>4</v>
      </c>
      <c r="B7" s="16" t="s">
        <v>284</v>
      </c>
      <c r="C7" s="79" t="s">
        <v>285</v>
      </c>
      <c r="D7" s="16" t="s">
        <v>286</v>
      </c>
      <c r="E7" s="80">
        <v>79.29</v>
      </c>
      <c r="F7" s="16">
        <v>2</v>
      </c>
      <c r="G7" s="81">
        <f t="shared" si="0"/>
        <v>158.58</v>
      </c>
      <c r="H7" s="81">
        <f t="shared" si="1"/>
        <v>13.21</v>
      </c>
    </row>
    <row r="8" ht="45" spans="1:8">
      <c r="A8" s="78">
        <v>5</v>
      </c>
      <c r="B8" s="16" t="s">
        <v>287</v>
      </c>
      <c r="C8" s="79" t="s">
        <v>288</v>
      </c>
      <c r="D8" s="16" t="s">
        <v>286</v>
      </c>
      <c r="E8" s="80">
        <v>8.82</v>
      </c>
      <c r="F8" s="16">
        <v>4</v>
      </c>
      <c r="G8" s="81">
        <f t="shared" si="0"/>
        <v>35.28</v>
      </c>
      <c r="H8" s="81">
        <f t="shared" si="1"/>
        <v>2.94</v>
      </c>
    </row>
    <row r="9" ht="30" spans="1:8">
      <c r="A9" s="78">
        <v>6</v>
      </c>
      <c r="B9" s="16" t="s">
        <v>289</v>
      </c>
      <c r="C9" s="82" t="s">
        <v>290</v>
      </c>
      <c r="D9" s="16" t="s">
        <v>280</v>
      </c>
      <c r="E9" s="80">
        <v>20.23</v>
      </c>
      <c r="F9" s="16">
        <v>2</v>
      </c>
      <c r="G9" s="81">
        <f t="shared" si="0"/>
        <v>40.46</v>
      </c>
      <c r="H9" s="81">
        <f t="shared" si="1"/>
        <v>3.37</v>
      </c>
    </row>
    <row r="10" ht="45" spans="1:8">
      <c r="A10" s="78">
        <v>7</v>
      </c>
      <c r="B10" s="16" t="s">
        <v>291</v>
      </c>
      <c r="C10" s="79" t="s">
        <v>292</v>
      </c>
      <c r="D10" s="16" t="s">
        <v>280</v>
      </c>
      <c r="E10" s="80">
        <v>5.8</v>
      </c>
      <c r="F10" s="16">
        <v>1</v>
      </c>
      <c r="G10" s="81">
        <f t="shared" si="0"/>
        <v>5.8</v>
      </c>
      <c r="H10" s="81">
        <f t="shared" si="1"/>
        <v>0.48</v>
      </c>
    </row>
    <row r="11" spans="1:8">
      <c r="A11" s="18" t="s">
        <v>204</v>
      </c>
      <c r="B11" s="18"/>
      <c r="C11" s="18"/>
      <c r="D11" s="18"/>
      <c r="E11" s="18"/>
      <c r="F11" s="18"/>
      <c r="G11" s="19">
        <f>TRUNC(SUM(H4:H10),2)</f>
        <v>71.61</v>
      </c>
      <c r="H11" s="19"/>
    </row>
    <row r="14" spans="1:8">
      <c r="A14" s="71" t="s">
        <v>268</v>
      </c>
      <c r="B14" s="72"/>
      <c r="C14" s="71"/>
      <c r="D14" s="73"/>
      <c r="E14" s="71"/>
      <c r="F14" s="71"/>
      <c r="G14" s="71"/>
      <c r="H14" s="71"/>
    </row>
    <row r="15" spans="1:8">
      <c r="A15" s="74" t="s">
        <v>293</v>
      </c>
      <c r="B15" s="75"/>
      <c r="C15" s="74"/>
      <c r="D15" s="76"/>
      <c r="E15" s="74"/>
      <c r="F15" s="74"/>
      <c r="G15" s="74"/>
      <c r="H15" s="74"/>
    </row>
    <row r="16" ht="60" spans="1:8">
      <c r="A16" s="77" t="s">
        <v>270</v>
      </c>
      <c r="B16" s="77" t="s">
        <v>271</v>
      </c>
      <c r="C16" s="77" t="s">
        <v>272</v>
      </c>
      <c r="D16" s="77" t="s">
        <v>273</v>
      </c>
      <c r="E16" s="77" t="s">
        <v>274</v>
      </c>
      <c r="F16" s="77" t="s">
        <v>275</v>
      </c>
      <c r="G16" s="77" t="s">
        <v>276</v>
      </c>
      <c r="H16" s="77" t="s">
        <v>277</v>
      </c>
    </row>
    <row r="17" ht="30" spans="1:8">
      <c r="A17" s="78">
        <v>1</v>
      </c>
      <c r="B17" s="16" t="s">
        <v>278</v>
      </c>
      <c r="C17" s="79" t="s">
        <v>294</v>
      </c>
      <c r="D17" s="16" t="s">
        <v>280</v>
      </c>
      <c r="E17" s="80">
        <v>62.9</v>
      </c>
      <c r="F17" s="16">
        <v>4</v>
      </c>
      <c r="G17" s="81">
        <f t="shared" ref="G17:G23" si="2">TRUNC(F17*E17,2)</f>
        <v>251.6</v>
      </c>
      <c r="H17" s="81">
        <f t="shared" ref="H17:H23" si="3">TRUNC(G17/12,2)</f>
        <v>20.96</v>
      </c>
    </row>
    <row r="18" ht="60" spans="1:8">
      <c r="A18" s="78">
        <v>2</v>
      </c>
      <c r="B18" s="16" t="s">
        <v>281</v>
      </c>
      <c r="C18" s="79" t="s">
        <v>282</v>
      </c>
      <c r="D18" s="16" t="s">
        <v>280</v>
      </c>
      <c r="E18" s="80">
        <v>66.98</v>
      </c>
      <c r="F18" s="16">
        <v>4</v>
      </c>
      <c r="G18" s="81">
        <f t="shared" si="2"/>
        <v>267.92</v>
      </c>
      <c r="H18" s="81">
        <f t="shared" si="3"/>
        <v>22.32</v>
      </c>
    </row>
    <row r="19" ht="60" spans="1:8">
      <c r="A19" s="78">
        <v>3</v>
      </c>
      <c r="B19" s="16" t="s">
        <v>281</v>
      </c>
      <c r="C19" s="79" t="s">
        <v>283</v>
      </c>
      <c r="D19" s="16" t="s">
        <v>280</v>
      </c>
      <c r="E19" s="80">
        <v>24.99</v>
      </c>
      <c r="F19" s="16">
        <v>4</v>
      </c>
      <c r="G19" s="81">
        <f t="shared" si="2"/>
        <v>99.96</v>
      </c>
      <c r="H19" s="81">
        <f t="shared" si="3"/>
        <v>8.33</v>
      </c>
    </row>
    <row r="20" ht="90" spans="1:8">
      <c r="A20" s="78">
        <v>4</v>
      </c>
      <c r="B20" s="83" t="s">
        <v>295</v>
      </c>
      <c r="C20" s="79" t="s">
        <v>296</v>
      </c>
      <c r="D20" s="16" t="s">
        <v>286</v>
      </c>
      <c r="E20" s="80">
        <v>23.36</v>
      </c>
      <c r="F20" s="16">
        <v>2</v>
      </c>
      <c r="G20" s="81">
        <f t="shared" si="2"/>
        <v>46.72</v>
      </c>
      <c r="H20" s="81">
        <f t="shared" si="3"/>
        <v>3.89</v>
      </c>
    </row>
    <row r="21" ht="30" spans="1:8">
      <c r="A21" s="78">
        <v>5</v>
      </c>
      <c r="B21" s="16" t="s">
        <v>284</v>
      </c>
      <c r="C21" s="79" t="s">
        <v>285</v>
      </c>
      <c r="D21" s="16" t="s">
        <v>286</v>
      </c>
      <c r="E21" s="80">
        <v>79.29</v>
      </c>
      <c r="F21" s="16">
        <v>2</v>
      </c>
      <c r="G21" s="81">
        <f t="shared" si="2"/>
        <v>158.58</v>
      </c>
      <c r="H21" s="81">
        <f t="shared" si="3"/>
        <v>13.21</v>
      </c>
    </row>
    <row r="22" ht="45" spans="1:8">
      <c r="A22" s="78">
        <v>6</v>
      </c>
      <c r="B22" s="16" t="s">
        <v>287</v>
      </c>
      <c r="C22" s="79" t="s">
        <v>288</v>
      </c>
      <c r="D22" s="16" t="s">
        <v>286</v>
      </c>
      <c r="E22" s="80">
        <v>8.82</v>
      </c>
      <c r="F22" s="16">
        <v>4</v>
      </c>
      <c r="G22" s="81">
        <f t="shared" si="2"/>
        <v>35.28</v>
      </c>
      <c r="H22" s="81">
        <f t="shared" si="3"/>
        <v>2.94</v>
      </c>
    </row>
    <row r="23" ht="45" spans="1:8">
      <c r="A23" s="78">
        <v>7</v>
      </c>
      <c r="B23" s="16" t="s">
        <v>291</v>
      </c>
      <c r="C23" s="79" t="s">
        <v>292</v>
      </c>
      <c r="D23" s="16" t="s">
        <v>280</v>
      </c>
      <c r="E23" s="80">
        <v>5.8</v>
      </c>
      <c r="F23" s="16">
        <v>1</v>
      </c>
      <c r="G23" s="81">
        <f t="shared" si="2"/>
        <v>5.8</v>
      </c>
      <c r="H23" s="81">
        <f t="shared" si="3"/>
        <v>0.48</v>
      </c>
    </row>
    <row r="24" spans="1:8">
      <c r="A24" s="18" t="s">
        <v>204</v>
      </c>
      <c r="B24" s="18"/>
      <c r="C24" s="18"/>
      <c r="D24" s="18"/>
      <c r="E24" s="18"/>
      <c r="F24" s="18"/>
      <c r="G24" s="19">
        <f>TRUNC(SUM(H17:H23),2)</f>
        <v>72.13</v>
      </c>
      <c r="H24" s="19"/>
    </row>
    <row r="27" spans="1:8">
      <c r="A27" s="84" t="s">
        <v>297</v>
      </c>
      <c r="B27" s="85"/>
      <c r="C27" s="84"/>
      <c r="D27" s="86"/>
      <c r="E27" s="84"/>
      <c r="F27" s="84"/>
      <c r="G27" s="84"/>
      <c r="H27" s="84"/>
    </row>
    <row r="28" spans="1:8">
      <c r="A28" s="74" t="s">
        <v>298</v>
      </c>
      <c r="B28" s="75"/>
      <c r="C28" s="74"/>
      <c r="D28" s="76"/>
      <c r="E28" s="74"/>
      <c r="F28" s="74"/>
      <c r="G28" s="74"/>
      <c r="H28" s="74"/>
    </row>
    <row r="29" ht="60" spans="1:8">
      <c r="A29" s="87" t="s">
        <v>270</v>
      </c>
      <c r="B29" s="87" t="s">
        <v>271</v>
      </c>
      <c r="C29" s="87" t="s">
        <v>272</v>
      </c>
      <c r="D29" s="87" t="s">
        <v>273</v>
      </c>
      <c r="E29" s="87" t="s">
        <v>274</v>
      </c>
      <c r="F29" s="87" t="s">
        <v>275</v>
      </c>
      <c r="G29" s="87" t="s">
        <v>276</v>
      </c>
      <c r="H29" s="87" t="s">
        <v>277</v>
      </c>
    </row>
    <row r="30" ht="60" spans="1:8">
      <c r="A30" s="78">
        <v>1</v>
      </c>
      <c r="B30" s="16" t="s">
        <v>278</v>
      </c>
      <c r="C30" s="79" t="s">
        <v>299</v>
      </c>
      <c r="D30" s="16" t="s">
        <v>280</v>
      </c>
      <c r="E30" s="80">
        <v>52.53</v>
      </c>
      <c r="F30" s="16">
        <v>4</v>
      </c>
      <c r="G30" s="81">
        <f t="shared" ref="G30:G45" si="4">TRUNC(F30*E30,2)</f>
        <v>210.12</v>
      </c>
      <c r="H30" s="81">
        <f t="shared" ref="H30:H45" si="5">TRUNC(G30/12,2)</f>
        <v>17.51</v>
      </c>
    </row>
    <row r="31" ht="60" spans="1:8">
      <c r="A31" s="78">
        <v>2</v>
      </c>
      <c r="B31" s="16" t="s">
        <v>281</v>
      </c>
      <c r="C31" s="79" t="s">
        <v>300</v>
      </c>
      <c r="D31" s="16" t="s">
        <v>280</v>
      </c>
      <c r="E31" s="80">
        <v>45.6</v>
      </c>
      <c r="F31" s="16">
        <v>4</v>
      </c>
      <c r="G31" s="81">
        <f t="shared" si="4"/>
        <v>182.4</v>
      </c>
      <c r="H31" s="81">
        <f t="shared" si="5"/>
        <v>15.2</v>
      </c>
    </row>
    <row r="32" ht="60" spans="1:8">
      <c r="A32" s="78">
        <v>3</v>
      </c>
      <c r="B32" s="16" t="s">
        <v>281</v>
      </c>
      <c r="C32" s="79" t="s">
        <v>283</v>
      </c>
      <c r="D32" s="16" t="s">
        <v>280</v>
      </c>
      <c r="E32" s="80">
        <v>24.99</v>
      </c>
      <c r="F32" s="16">
        <v>4</v>
      </c>
      <c r="G32" s="81">
        <f t="shared" si="4"/>
        <v>99.96</v>
      </c>
      <c r="H32" s="81">
        <f t="shared" si="5"/>
        <v>8.33</v>
      </c>
    </row>
    <row r="33" ht="30" spans="1:8">
      <c r="A33" s="78">
        <v>4</v>
      </c>
      <c r="B33" s="83" t="s">
        <v>301</v>
      </c>
      <c r="C33" s="79" t="s">
        <v>302</v>
      </c>
      <c r="D33" s="16" t="s">
        <v>280</v>
      </c>
      <c r="E33" s="80">
        <v>11.23</v>
      </c>
      <c r="F33" s="16">
        <v>2</v>
      </c>
      <c r="G33" s="81">
        <f t="shared" si="4"/>
        <v>22.46</v>
      </c>
      <c r="H33" s="81">
        <f t="shared" si="5"/>
        <v>1.87</v>
      </c>
    </row>
    <row r="34" ht="90" spans="1:8">
      <c r="A34" s="78">
        <v>5</v>
      </c>
      <c r="B34" s="83" t="s">
        <v>295</v>
      </c>
      <c r="C34" s="79" t="s">
        <v>296</v>
      </c>
      <c r="D34" s="16" t="s">
        <v>286</v>
      </c>
      <c r="E34" s="80">
        <v>23.36</v>
      </c>
      <c r="F34" s="16">
        <v>2</v>
      </c>
      <c r="G34" s="81">
        <f t="shared" si="4"/>
        <v>46.72</v>
      </c>
      <c r="H34" s="81">
        <f t="shared" si="5"/>
        <v>3.89</v>
      </c>
    </row>
    <row r="35" ht="60" spans="1:8">
      <c r="A35" s="78">
        <v>6</v>
      </c>
      <c r="B35" s="16" t="s">
        <v>284</v>
      </c>
      <c r="C35" s="79" t="s">
        <v>303</v>
      </c>
      <c r="D35" s="16" t="s">
        <v>286</v>
      </c>
      <c r="E35" s="80">
        <v>55.76</v>
      </c>
      <c r="F35" s="16">
        <v>2</v>
      </c>
      <c r="G35" s="81">
        <f t="shared" si="4"/>
        <v>111.52</v>
      </c>
      <c r="H35" s="81">
        <f t="shared" si="5"/>
        <v>9.29</v>
      </c>
    </row>
    <row r="36" ht="105" spans="1:8">
      <c r="A36" s="78">
        <v>7</v>
      </c>
      <c r="B36" s="16" t="s">
        <v>284</v>
      </c>
      <c r="C36" s="79" t="s">
        <v>304</v>
      </c>
      <c r="D36" s="16" t="s">
        <v>286</v>
      </c>
      <c r="E36" s="80">
        <v>35.16</v>
      </c>
      <c r="F36" s="16">
        <v>1</v>
      </c>
      <c r="G36" s="81">
        <f t="shared" si="4"/>
        <v>35.16</v>
      </c>
      <c r="H36" s="81">
        <f t="shared" si="5"/>
        <v>2.93</v>
      </c>
    </row>
    <row r="37" ht="45" spans="1:8">
      <c r="A37" s="78">
        <v>8</v>
      </c>
      <c r="B37" s="16" t="s">
        <v>287</v>
      </c>
      <c r="C37" s="79" t="s">
        <v>288</v>
      </c>
      <c r="D37" s="16" t="s">
        <v>286</v>
      </c>
      <c r="E37" s="80">
        <v>8.82</v>
      </c>
      <c r="F37" s="16">
        <v>4</v>
      </c>
      <c r="G37" s="81">
        <f t="shared" si="4"/>
        <v>35.28</v>
      </c>
      <c r="H37" s="81">
        <f t="shared" si="5"/>
        <v>2.94</v>
      </c>
    </row>
    <row r="38" ht="45" spans="1:8">
      <c r="A38" s="78">
        <v>9</v>
      </c>
      <c r="B38" s="16" t="s">
        <v>291</v>
      </c>
      <c r="C38" s="79" t="s">
        <v>292</v>
      </c>
      <c r="D38" s="16" t="s">
        <v>280</v>
      </c>
      <c r="E38" s="80">
        <v>5.8</v>
      </c>
      <c r="F38" s="16">
        <v>1</v>
      </c>
      <c r="G38" s="81">
        <f t="shared" si="4"/>
        <v>5.8</v>
      </c>
      <c r="H38" s="81">
        <f t="shared" si="5"/>
        <v>0.48</v>
      </c>
    </row>
    <row r="39" ht="60" spans="1:8">
      <c r="A39" s="78">
        <v>10</v>
      </c>
      <c r="B39" s="16" t="s">
        <v>305</v>
      </c>
      <c r="C39" s="79" t="s">
        <v>306</v>
      </c>
      <c r="D39" s="16" t="s">
        <v>280</v>
      </c>
      <c r="E39" s="80">
        <v>36.92</v>
      </c>
      <c r="F39" s="16">
        <v>1</v>
      </c>
      <c r="G39" s="81">
        <f t="shared" si="4"/>
        <v>36.92</v>
      </c>
      <c r="H39" s="81">
        <f t="shared" si="5"/>
        <v>3.07</v>
      </c>
    </row>
    <row r="40" ht="60" spans="1:8">
      <c r="A40" s="78">
        <v>11</v>
      </c>
      <c r="B40" s="16" t="s">
        <v>307</v>
      </c>
      <c r="C40" s="79" t="s">
        <v>308</v>
      </c>
      <c r="D40" s="16" t="s">
        <v>309</v>
      </c>
      <c r="E40" s="80">
        <v>222.4</v>
      </c>
      <c r="F40" s="16">
        <v>1</v>
      </c>
      <c r="G40" s="81">
        <f t="shared" si="4"/>
        <v>222.4</v>
      </c>
      <c r="H40" s="81">
        <f t="shared" si="5"/>
        <v>18.53</v>
      </c>
    </row>
    <row r="41" ht="60" spans="1:8">
      <c r="A41" s="78">
        <v>12</v>
      </c>
      <c r="B41" s="16" t="s">
        <v>310</v>
      </c>
      <c r="C41" s="79" t="s">
        <v>311</v>
      </c>
      <c r="D41" s="16" t="s">
        <v>286</v>
      </c>
      <c r="E41" s="80">
        <v>3.8</v>
      </c>
      <c r="F41" s="16">
        <v>6</v>
      </c>
      <c r="G41" s="81">
        <f t="shared" si="4"/>
        <v>22.8</v>
      </c>
      <c r="H41" s="81">
        <f t="shared" si="5"/>
        <v>1.9</v>
      </c>
    </row>
    <row r="42" ht="75" spans="1:8">
      <c r="A42" s="78">
        <v>13</v>
      </c>
      <c r="B42" s="16" t="s">
        <v>312</v>
      </c>
      <c r="C42" s="79" t="s">
        <v>313</v>
      </c>
      <c r="D42" s="16" t="s">
        <v>280</v>
      </c>
      <c r="E42" s="80">
        <v>7</v>
      </c>
      <c r="F42" s="16">
        <v>2</v>
      </c>
      <c r="G42" s="81">
        <f t="shared" si="4"/>
        <v>14</v>
      </c>
      <c r="H42" s="81">
        <f t="shared" si="5"/>
        <v>1.16</v>
      </c>
    </row>
    <row r="43" ht="45" spans="1:8">
      <c r="A43" s="78">
        <v>14</v>
      </c>
      <c r="B43" s="16" t="s">
        <v>314</v>
      </c>
      <c r="C43" s="79" t="s">
        <v>315</v>
      </c>
      <c r="D43" s="16" t="s">
        <v>280</v>
      </c>
      <c r="E43" s="80">
        <v>1.57</v>
      </c>
      <c r="F43" s="16">
        <v>4</v>
      </c>
      <c r="G43" s="81">
        <f t="shared" si="4"/>
        <v>6.28</v>
      </c>
      <c r="H43" s="81">
        <f t="shared" si="5"/>
        <v>0.52</v>
      </c>
    </row>
    <row r="44" ht="30" spans="1:8">
      <c r="A44" s="78">
        <v>15</v>
      </c>
      <c r="B44" s="16" t="s">
        <v>316</v>
      </c>
      <c r="C44" s="79" t="s">
        <v>317</v>
      </c>
      <c r="D44" s="16" t="s">
        <v>280</v>
      </c>
      <c r="E44" s="80">
        <v>28</v>
      </c>
      <c r="F44" s="16">
        <v>4</v>
      </c>
      <c r="G44" s="81">
        <f t="shared" si="4"/>
        <v>112</v>
      </c>
      <c r="H44" s="81">
        <f t="shared" si="5"/>
        <v>9.33</v>
      </c>
    </row>
    <row r="45" ht="105" spans="1:8">
      <c r="A45" s="78">
        <v>16</v>
      </c>
      <c r="B45" s="78" t="s">
        <v>318</v>
      </c>
      <c r="C45" s="79" t="s">
        <v>319</v>
      </c>
      <c r="D45" s="16" t="s">
        <v>280</v>
      </c>
      <c r="E45" s="80">
        <v>3.55</v>
      </c>
      <c r="F45" s="16">
        <v>12</v>
      </c>
      <c r="G45" s="81">
        <f t="shared" si="4"/>
        <v>42.6</v>
      </c>
      <c r="H45" s="81">
        <f t="shared" si="5"/>
        <v>3.55</v>
      </c>
    </row>
    <row r="46" spans="1:8">
      <c r="A46" s="11" t="s">
        <v>204</v>
      </c>
      <c r="B46" s="11"/>
      <c r="C46" s="11"/>
      <c r="D46" s="11"/>
      <c r="E46" s="11"/>
      <c r="F46" s="11"/>
      <c r="G46" s="88">
        <f>TRUNC(SUM(H30:H45),2)</f>
        <v>100.5</v>
      </c>
      <c r="H46" s="88"/>
    </row>
    <row r="48" spans="1:8">
      <c r="A48" s="89"/>
      <c r="B48" s="78"/>
      <c r="C48" s="89"/>
      <c r="D48" s="90"/>
      <c r="E48" s="89"/>
      <c r="F48" s="89"/>
      <c r="G48" s="89"/>
      <c r="H48" s="89"/>
    </row>
    <row r="49" spans="1:8">
      <c r="A49" s="84" t="s">
        <v>297</v>
      </c>
      <c r="B49" s="85"/>
      <c r="C49" s="84"/>
      <c r="D49" s="86"/>
      <c r="E49" s="84"/>
      <c r="F49" s="84"/>
      <c r="G49" s="84"/>
      <c r="H49" s="84"/>
    </row>
    <row r="50" spans="1:8">
      <c r="A50" s="74" t="s">
        <v>320</v>
      </c>
      <c r="B50" s="75"/>
      <c r="C50" s="74"/>
      <c r="D50" s="76"/>
      <c r="E50" s="74"/>
      <c r="F50" s="74"/>
      <c r="G50" s="74"/>
      <c r="H50" s="74"/>
    </row>
    <row r="51" ht="60" spans="1:8">
      <c r="A51" s="87" t="s">
        <v>270</v>
      </c>
      <c r="B51" s="87" t="s">
        <v>271</v>
      </c>
      <c r="C51" s="87" t="s">
        <v>272</v>
      </c>
      <c r="D51" s="87" t="s">
        <v>273</v>
      </c>
      <c r="E51" s="87" t="s">
        <v>274</v>
      </c>
      <c r="F51" s="87" t="s">
        <v>275</v>
      </c>
      <c r="G51" s="87" t="s">
        <v>276</v>
      </c>
      <c r="H51" s="87" t="s">
        <v>277</v>
      </c>
    </row>
    <row r="52" ht="60" spans="1:8">
      <c r="A52" s="78">
        <v>1</v>
      </c>
      <c r="B52" s="16" t="s">
        <v>278</v>
      </c>
      <c r="C52" s="82" t="s">
        <v>299</v>
      </c>
      <c r="D52" s="16" t="s">
        <v>280</v>
      </c>
      <c r="E52" s="80">
        <v>52.53</v>
      </c>
      <c r="F52" s="16">
        <v>4</v>
      </c>
      <c r="G52" s="81">
        <f>TRUNC(F52*E52,2)</f>
        <v>210.12</v>
      </c>
      <c r="H52" s="81">
        <f>TRUNC(G52/12,2)</f>
        <v>17.51</v>
      </c>
    </row>
    <row r="53" ht="60" spans="1:8">
      <c r="A53" s="78">
        <v>2</v>
      </c>
      <c r="B53" s="16" t="s">
        <v>281</v>
      </c>
      <c r="C53" s="82" t="s">
        <v>300</v>
      </c>
      <c r="D53" s="16" t="s">
        <v>280</v>
      </c>
      <c r="E53" s="80">
        <v>45.6</v>
      </c>
      <c r="F53" s="16">
        <v>4</v>
      </c>
      <c r="G53" s="81">
        <f t="shared" ref="G53:G64" si="6">TRUNC(F53*E53,2)</f>
        <v>182.4</v>
      </c>
      <c r="H53" s="81">
        <f t="shared" ref="H53:H64" si="7">TRUNC(G53/12,2)</f>
        <v>15.2</v>
      </c>
    </row>
    <row r="54" ht="60" spans="1:8">
      <c r="A54" s="78">
        <v>3</v>
      </c>
      <c r="B54" s="16" t="s">
        <v>281</v>
      </c>
      <c r="C54" s="91" t="s">
        <v>283</v>
      </c>
      <c r="D54" s="16" t="s">
        <v>280</v>
      </c>
      <c r="E54" s="80">
        <v>24.99</v>
      </c>
      <c r="F54" s="16">
        <v>4</v>
      </c>
      <c r="G54" s="81">
        <f t="shared" si="6"/>
        <v>99.96</v>
      </c>
      <c r="H54" s="81">
        <f t="shared" si="7"/>
        <v>8.33</v>
      </c>
    </row>
    <row r="55" ht="30" spans="1:8">
      <c r="A55" s="78">
        <v>4</v>
      </c>
      <c r="B55" s="83" t="s">
        <v>301</v>
      </c>
      <c r="C55" s="82" t="s">
        <v>302</v>
      </c>
      <c r="D55" s="16" t="s">
        <v>280</v>
      </c>
      <c r="E55" s="80">
        <v>11.23</v>
      </c>
      <c r="F55" s="16">
        <v>2</v>
      </c>
      <c r="G55" s="81">
        <f t="shared" si="6"/>
        <v>22.46</v>
      </c>
      <c r="H55" s="81">
        <f t="shared" si="7"/>
        <v>1.87</v>
      </c>
    </row>
    <row r="56" ht="90" spans="1:8">
      <c r="A56" s="78">
        <v>5</v>
      </c>
      <c r="B56" s="83" t="s">
        <v>295</v>
      </c>
      <c r="C56" s="82" t="s">
        <v>296</v>
      </c>
      <c r="D56" s="16" t="s">
        <v>286</v>
      </c>
      <c r="E56" s="80">
        <v>23.36</v>
      </c>
      <c r="F56" s="16">
        <v>2</v>
      </c>
      <c r="G56" s="81">
        <f t="shared" si="6"/>
        <v>46.72</v>
      </c>
      <c r="H56" s="81">
        <f t="shared" si="7"/>
        <v>3.89</v>
      </c>
    </row>
    <row r="57" ht="60" spans="1:8">
      <c r="A57" s="78">
        <v>6</v>
      </c>
      <c r="B57" s="16" t="s">
        <v>284</v>
      </c>
      <c r="C57" s="82" t="s">
        <v>303</v>
      </c>
      <c r="D57" s="16" t="s">
        <v>286</v>
      </c>
      <c r="E57" s="80">
        <v>55.76</v>
      </c>
      <c r="F57" s="16">
        <v>2</v>
      </c>
      <c r="G57" s="81">
        <f t="shared" si="6"/>
        <v>111.52</v>
      </c>
      <c r="H57" s="81">
        <f t="shared" si="7"/>
        <v>9.29</v>
      </c>
    </row>
    <row r="58" ht="105" spans="1:8">
      <c r="A58" s="78">
        <v>7</v>
      </c>
      <c r="B58" s="16" t="s">
        <v>284</v>
      </c>
      <c r="C58" s="82" t="s">
        <v>304</v>
      </c>
      <c r="D58" s="16" t="s">
        <v>286</v>
      </c>
      <c r="E58" s="80">
        <v>35.16</v>
      </c>
      <c r="F58" s="16">
        <v>1</v>
      </c>
      <c r="G58" s="81">
        <f t="shared" si="6"/>
        <v>35.16</v>
      </c>
      <c r="H58" s="81">
        <f t="shared" si="7"/>
        <v>2.93</v>
      </c>
    </row>
    <row r="59" ht="45" spans="1:8">
      <c r="A59" s="78">
        <v>8</v>
      </c>
      <c r="B59" s="16" t="s">
        <v>287</v>
      </c>
      <c r="C59" s="82" t="s">
        <v>288</v>
      </c>
      <c r="D59" s="16" t="s">
        <v>286</v>
      </c>
      <c r="E59" s="80">
        <v>8.82</v>
      </c>
      <c r="F59" s="16">
        <v>4</v>
      </c>
      <c r="G59" s="81">
        <f t="shared" si="6"/>
        <v>35.28</v>
      </c>
      <c r="H59" s="81">
        <f t="shared" si="7"/>
        <v>2.94</v>
      </c>
    </row>
    <row r="60" ht="45" spans="1:8">
      <c r="A60" s="78">
        <v>9</v>
      </c>
      <c r="B60" s="16" t="s">
        <v>291</v>
      </c>
      <c r="C60" s="82" t="s">
        <v>292</v>
      </c>
      <c r="D60" s="16" t="s">
        <v>280</v>
      </c>
      <c r="E60" s="80">
        <v>5.8</v>
      </c>
      <c r="F60" s="16">
        <v>1</v>
      </c>
      <c r="G60" s="81">
        <f t="shared" si="6"/>
        <v>5.8</v>
      </c>
      <c r="H60" s="81">
        <f t="shared" si="7"/>
        <v>0.48</v>
      </c>
    </row>
    <row r="61" ht="60" spans="1:8">
      <c r="A61" s="78">
        <v>10</v>
      </c>
      <c r="B61" s="16" t="s">
        <v>310</v>
      </c>
      <c r="C61" s="82" t="s">
        <v>311</v>
      </c>
      <c r="D61" s="16" t="s">
        <v>286</v>
      </c>
      <c r="E61" s="80">
        <v>3.8</v>
      </c>
      <c r="F61" s="16">
        <v>4</v>
      </c>
      <c r="G61" s="81">
        <f t="shared" si="6"/>
        <v>15.2</v>
      </c>
      <c r="H61" s="81">
        <f t="shared" si="7"/>
        <v>1.26</v>
      </c>
    </row>
    <row r="62" ht="75" spans="1:8">
      <c r="A62" s="78">
        <v>11</v>
      </c>
      <c r="B62" s="16" t="s">
        <v>312</v>
      </c>
      <c r="C62" s="82" t="s">
        <v>313</v>
      </c>
      <c r="D62" s="16" t="s">
        <v>280</v>
      </c>
      <c r="E62" s="80">
        <v>7</v>
      </c>
      <c r="F62" s="16">
        <v>2</v>
      </c>
      <c r="G62" s="81">
        <f t="shared" si="6"/>
        <v>14</v>
      </c>
      <c r="H62" s="81">
        <f t="shared" si="7"/>
        <v>1.16</v>
      </c>
    </row>
    <row r="63" ht="75" spans="1:8">
      <c r="A63" s="78">
        <v>12</v>
      </c>
      <c r="B63" s="16" t="s">
        <v>321</v>
      </c>
      <c r="C63" s="82" t="s">
        <v>322</v>
      </c>
      <c r="D63" s="16" t="s">
        <v>280</v>
      </c>
      <c r="E63" s="80">
        <v>20.23</v>
      </c>
      <c r="F63" s="16">
        <v>1</v>
      </c>
      <c r="G63" s="81">
        <f t="shared" si="6"/>
        <v>20.23</v>
      </c>
      <c r="H63" s="81">
        <f t="shared" si="7"/>
        <v>1.68</v>
      </c>
    </row>
    <row r="64" ht="30" spans="1:8">
      <c r="A64" s="78">
        <v>13</v>
      </c>
      <c r="B64" s="16" t="s">
        <v>316</v>
      </c>
      <c r="C64" s="82" t="s">
        <v>317</v>
      </c>
      <c r="D64" s="16" t="s">
        <v>280</v>
      </c>
      <c r="E64" s="80">
        <v>28</v>
      </c>
      <c r="F64" s="16">
        <v>4</v>
      </c>
      <c r="G64" s="81">
        <f t="shared" si="6"/>
        <v>112</v>
      </c>
      <c r="H64" s="81">
        <f t="shared" si="7"/>
        <v>9.33</v>
      </c>
    </row>
    <row r="65" spans="1:8">
      <c r="A65" s="11" t="s">
        <v>204</v>
      </c>
      <c r="B65" s="11"/>
      <c r="C65" s="11"/>
      <c r="D65" s="11"/>
      <c r="E65" s="11"/>
      <c r="F65" s="11"/>
      <c r="G65" s="88">
        <f>TRUNC(SUM(H52:H64),2)</f>
        <v>75.87</v>
      </c>
      <c r="H65" s="88"/>
    </row>
    <row r="66" spans="1:8">
      <c r="A66" s="92"/>
      <c r="B66" s="93"/>
      <c r="C66" s="92"/>
      <c r="D66" s="94"/>
      <c r="E66" s="92"/>
      <c r="F66" s="92"/>
      <c r="G66" s="92"/>
      <c r="H66" s="92"/>
    </row>
    <row r="67" spans="1:8">
      <c r="A67" s="92"/>
      <c r="B67" s="93"/>
      <c r="C67" s="92"/>
      <c r="D67" s="94"/>
      <c r="E67" s="92"/>
      <c r="F67" s="92"/>
      <c r="G67" s="92"/>
      <c r="H67" s="92"/>
    </row>
    <row r="68" spans="1:8">
      <c r="A68" s="92"/>
      <c r="B68" s="93"/>
      <c r="C68" s="92"/>
      <c r="D68" s="94"/>
      <c r="E68" s="92"/>
      <c r="F68" s="92"/>
      <c r="G68" s="92"/>
      <c r="H68" s="92"/>
    </row>
    <row r="69" spans="1:8">
      <c r="A69" s="92"/>
      <c r="B69" s="93"/>
      <c r="C69" s="92"/>
      <c r="D69" s="94"/>
      <c r="E69" s="92"/>
      <c r="F69" s="92"/>
      <c r="G69" s="92"/>
      <c r="H69" s="92"/>
    </row>
    <row r="70" spans="1:8">
      <c r="A70" s="92"/>
      <c r="B70" s="93"/>
      <c r="C70" s="92"/>
      <c r="D70" s="94"/>
      <c r="E70" s="92"/>
      <c r="F70" s="92"/>
      <c r="G70" s="92"/>
      <c r="H70" s="92"/>
    </row>
    <row r="71" spans="1:8">
      <c r="A71" s="92"/>
      <c r="B71" s="93"/>
      <c r="C71" s="92"/>
      <c r="D71" s="94"/>
      <c r="E71" s="92"/>
      <c r="F71" s="92"/>
      <c r="G71" s="92"/>
      <c r="H71" s="92"/>
    </row>
    <row r="72" spans="1:8">
      <c r="A72" s="92"/>
      <c r="B72" s="93"/>
      <c r="C72" s="92"/>
      <c r="D72" s="94"/>
      <c r="E72" s="92"/>
      <c r="F72" s="92"/>
      <c r="G72" s="92"/>
      <c r="H72" s="92"/>
    </row>
    <row r="73" spans="1:8">
      <c r="A73" s="92"/>
      <c r="B73" s="93"/>
      <c r="C73" s="92"/>
      <c r="D73" s="94"/>
      <c r="E73" s="92"/>
      <c r="F73" s="92"/>
      <c r="G73" s="92"/>
      <c r="H73" s="92"/>
    </row>
    <row r="74" spans="1:8">
      <c r="A74" s="92"/>
      <c r="B74" s="93"/>
      <c r="C74" s="92"/>
      <c r="D74" s="94"/>
      <c r="E74" s="92"/>
      <c r="F74" s="92"/>
      <c r="G74" s="92"/>
      <c r="H74" s="92"/>
    </row>
    <row r="75" spans="1:8">
      <c r="A75" s="92"/>
      <c r="B75" s="93"/>
      <c r="C75" s="92"/>
      <c r="D75" s="94"/>
      <c r="E75" s="92"/>
      <c r="F75" s="92"/>
      <c r="G75" s="92"/>
      <c r="H75" s="92"/>
    </row>
    <row r="76" spans="1:8">
      <c r="A76" s="92"/>
      <c r="B76" s="93"/>
      <c r="C76" s="92"/>
      <c r="D76" s="94"/>
      <c r="E76" s="92"/>
      <c r="F76" s="92"/>
      <c r="G76" s="92"/>
      <c r="H76" s="92"/>
    </row>
    <row r="77" spans="1:8">
      <c r="A77" s="92"/>
      <c r="B77" s="93"/>
      <c r="C77" s="92"/>
      <c r="D77" s="94"/>
      <c r="E77" s="92"/>
      <c r="F77" s="92"/>
      <c r="G77" s="92"/>
      <c r="H77" s="92"/>
    </row>
    <row r="78" spans="1:8">
      <c r="A78" s="92"/>
      <c r="B78" s="93"/>
      <c r="C78" s="92"/>
      <c r="D78" s="94"/>
      <c r="E78" s="92"/>
      <c r="F78" s="92"/>
      <c r="G78" s="92"/>
      <c r="H78" s="92"/>
    </row>
    <row r="79" spans="1:8">
      <c r="A79" s="92"/>
      <c r="B79" s="93"/>
      <c r="C79" s="92"/>
      <c r="D79" s="94"/>
      <c r="E79" s="92"/>
      <c r="F79" s="92"/>
      <c r="G79" s="92"/>
      <c r="H79" s="92"/>
    </row>
    <row r="80" spans="1:8">
      <c r="A80" s="92"/>
      <c r="B80" s="93"/>
      <c r="C80" s="92"/>
      <c r="D80" s="94"/>
      <c r="E80" s="92"/>
      <c r="F80" s="92"/>
      <c r="G80" s="92"/>
      <c r="H80" s="92"/>
    </row>
    <row r="81" spans="1:8">
      <c r="A81" s="92"/>
      <c r="B81" s="93"/>
      <c r="C81" s="92"/>
      <c r="D81" s="94"/>
      <c r="E81" s="92"/>
      <c r="F81" s="92"/>
      <c r="G81" s="92"/>
      <c r="H81" s="92"/>
    </row>
    <row r="82" spans="1:8">
      <c r="A82" s="92"/>
      <c r="B82" s="93"/>
      <c r="C82" s="92"/>
      <c r="D82" s="94"/>
      <c r="E82" s="92"/>
      <c r="F82" s="92"/>
      <c r="G82" s="92"/>
      <c r="H82" s="92"/>
    </row>
    <row r="83" spans="1:8">
      <c r="A83" s="92"/>
      <c r="B83" s="93"/>
      <c r="C83" s="92"/>
      <c r="D83" s="94"/>
      <c r="E83" s="92"/>
      <c r="F83" s="92"/>
      <c r="G83" s="92"/>
      <c r="H83" s="92"/>
    </row>
    <row r="84" spans="1:8">
      <c r="A84" s="92"/>
      <c r="B84" s="93"/>
      <c r="C84" s="92"/>
      <c r="D84" s="94"/>
      <c r="E84" s="92"/>
      <c r="F84" s="92"/>
      <c r="G84" s="92"/>
      <c r="H84" s="92"/>
    </row>
  </sheetData>
  <mergeCells count="16">
    <mergeCell ref="A1:H1"/>
    <mergeCell ref="A2:H2"/>
    <mergeCell ref="A11:F11"/>
    <mergeCell ref="G11:H11"/>
    <mergeCell ref="A14:H14"/>
    <mergeCell ref="A15:H15"/>
    <mergeCell ref="A24:F24"/>
    <mergeCell ref="G24:H24"/>
    <mergeCell ref="A27:H27"/>
    <mergeCell ref="A28:H28"/>
    <mergeCell ref="A46:F46"/>
    <mergeCell ref="G46:H46"/>
    <mergeCell ref="A49:H49"/>
    <mergeCell ref="A50:H50"/>
    <mergeCell ref="A65:F65"/>
    <mergeCell ref="G65:H65"/>
  </mergeCells>
  <pageMargins left="0.75" right="0.75" top="1" bottom="1" header="0.5" footer="0.5"/>
  <pageSetup paperSize="9" orientation="portrait"/>
  <headerFooter/>
  <tableParts count="2">
    <tablePart r:id="rId1"/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5"/>
  <sheetViews>
    <sheetView topLeftCell="A98" workbookViewId="0">
      <selection activeCell="J101" sqref="J101"/>
    </sheetView>
  </sheetViews>
  <sheetFormatPr defaultColWidth="8.88571428571429" defaultRowHeight="15" outlineLevelCol="6"/>
  <cols>
    <col min="2" max="2" width="41.4285714285714" customWidth="1"/>
    <col min="3" max="3" width="31.7142857142857" customWidth="1"/>
    <col min="4" max="4" width="19.7142857142857" customWidth="1"/>
    <col min="5" max="5" width="15.7142857142857" customWidth="1"/>
    <col min="6" max="6" width="16.4285714285714" customWidth="1"/>
    <col min="7" max="7" width="11.5714285714286" customWidth="1"/>
  </cols>
  <sheetData>
    <row r="1" spans="1:7">
      <c r="A1" s="22" t="s">
        <v>323</v>
      </c>
      <c r="B1" s="22"/>
      <c r="C1" s="22" t="s">
        <v>156</v>
      </c>
      <c r="D1" s="23"/>
      <c r="E1" s="22"/>
      <c r="F1" s="22"/>
      <c r="G1" s="22"/>
    </row>
    <row r="2" ht="45" spans="1:7">
      <c r="A2" s="4" t="s">
        <v>16</v>
      </c>
      <c r="B2" s="4" t="s">
        <v>324</v>
      </c>
      <c r="C2" s="4" t="s">
        <v>17</v>
      </c>
      <c r="D2" s="24" t="s">
        <v>325</v>
      </c>
      <c r="E2" s="4" t="s">
        <v>326</v>
      </c>
      <c r="F2" s="4" t="s">
        <v>327</v>
      </c>
      <c r="G2" s="4" t="s">
        <v>328</v>
      </c>
    </row>
    <row r="3" ht="45" spans="1:7">
      <c r="A3" s="24">
        <v>1</v>
      </c>
      <c r="B3" s="24" t="s">
        <v>329</v>
      </c>
      <c r="C3" s="25" t="s">
        <v>330</v>
      </c>
      <c r="D3" s="26">
        <v>64.34</v>
      </c>
      <c r="E3" s="27">
        <v>1</v>
      </c>
      <c r="F3" s="28">
        <f>Table43_2[[#This Row],[Quantidade Anual]]*Table43_2[[#This Row],[Valor Médio Unitário (R$)]]/2</f>
        <v>32.17</v>
      </c>
      <c r="G3" s="28">
        <f>Table43_2[[#This Row],[Valor Anual/ Empregado (R$)]]/12</f>
        <v>2.68083333333333</v>
      </c>
    </row>
    <row r="4" ht="75" spans="1:7">
      <c r="A4" s="24">
        <v>2</v>
      </c>
      <c r="B4" s="24" t="s">
        <v>331</v>
      </c>
      <c r="C4" s="25" t="s">
        <v>332</v>
      </c>
      <c r="D4" s="29">
        <v>1.44</v>
      </c>
      <c r="E4" s="27">
        <v>4</v>
      </c>
      <c r="F4" s="28">
        <f>Table43_2[[#This Row],[Quantidade Anual]]*Table43_2[[#This Row],[Valor Médio Unitário (R$)]]/2</f>
        <v>2.88</v>
      </c>
      <c r="G4" s="28">
        <f>Table43_2[[#This Row],[Valor Anual/ Empregado (R$)]]/12</f>
        <v>0.24</v>
      </c>
    </row>
    <row r="5" ht="45" spans="1:7">
      <c r="A5" s="24">
        <v>3</v>
      </c>
      <c r="B5" s="30" t="s">
        <v>333</v>
      </c>
      <c r="C5" s="25" t="s">
        <v>334</v>
      </c>
      <c r="D5" s="29">
        <v>43.9</v>
      </c>
      <c r="E5" s="27">
        <v>1</v>
      </c>
      <c r="F5" s="28">
        <f>Table43_2[[#This Row],[Quantidade Anual]]*Table43_2[[#This Row],[Valor Médio Unitário (R$)]]/2</f>
        <v>21.95</v>
      </c>
      <c r="G5" s="28">
        <f>Table43_2[[#This Row],[Valor Anual/ Empregado (R$)]]/12</f>
        <v>1.82916666666667</v>
      </c>
    </row>
    <row r="6" spans="1:7">
      <c r="A6" s="5" t="s">
        <v>58</v>
      </c>
      <c r="B6" s="5"/>
      <c r="C6" s="5"/>
      <c r="D6" s="31"/>
      <c r="E6" s="5"/>
      <c r="F6" s="5"/>
      <c r="G6" s="32">
        <f>SUBTOTAL(109,Table43_2[Valor Mensal/ Empregado])</f>
        <v>4.75</v>
      </c>
    </row>
    <row r="9" spans="1:6">
      <c r="A9" s="33" t="s">
        <v>335</v>
      </c>
      <c r="B9" s="33"/>
      <c r="C9" s="33"/>
      <c r="D9" s="33"/>
      <c r="E9" s="33"/>
      <c r="F9" s="33"/>
    </row>
    <row r="10" ht="30" spans="1:6">
      <c r="A10" s="34" t="s">
        <v>270</v>
      </c>
      <c r="B10" s="34" t="s">
        <v>272</v>
      </c>
      <c r="C10" s="34" t="s">
        <v>273</v>
      </c>
      <c r="D10" s="35" t="s">
        <v>336</v>
      </c>
      <c r="E10" s="34" t="s">
        <v>249</v>
      </c>
      <c r="F10" s="34" t="s">
        <v>337</v>
      </c>
    </row>
    <row r="11" spans="1:6">
      <c r="A11" s="36">
        <v>1</v>
      </c>
      <c r="B11" s="37" t="s">
        <v>338</v>
      </c>
      <c r="C11" s="36" t="s">
        <v>339</v>
      </c>
      <c r="D11" s="38">
        <v>2</v>
      </c>
      <c r="E11" s="39">
        <v>28.4</v>
      </c>
      <c r="F11" s="40">
        <f t="shared" ref="F11:F74" si="0">TRUNC(E11*D11,2)</f>
        <v>56.8</v>
      </c>
    </row>
    <row r="12" spans="1:6">
      <c r="A12" s="36">
        <v>2</v>
      </c>
      <c r="B12" s="37" t="s">
        <v>340</v>
      </c>
      <c r="C12" s="36" t="s">
        <v>339</v>
      </c>
      <c r="D12" s="38">
        <v>2</v>
      </c>
      <c r="E12" s="39">
        <v>51.65</v>
      </c>
      <c r="F12" s="40">
        <f t="shared" si="0"/>
        <v>103.3</v>
      </c>
    </row>
    <row r="13" spans="1:6">
      <c r="A13" s="36">
        <v>3</v>
      </c>
      <c r="B13" s="37" t="s">
        <v>341</v>
      </c>
      <c r="C13" s="36" t="s">
        <v>339</v>
      </c>
      <c r="D13" s="38">
        <v>2</v>
      </c>
      <c r="E13" s="39">
        <v>35.19</v>
      </c>
      <c r="F13" s="40">
        <f t="shared" si="0"/>
        <v>70.38</v>
      </c>
    </row>
    <row r="14" spans="1:6">
      <c r="A14" s="36">
        <v>4</v>
      </c>
      <c r="B14" s="37" t="s">
        <v>342</v>
      </c>
      <c r="C14" s="36" t="s">
        <v>339</v>
      </c>
      <c r="D14" s="38">
        <v>2</v>
      </c>
      <c r="E14" s="39">
        <v>60.75</v>
      </c>
      <c r="F14" s="40">
        <f t="shared" si="0"/>
        <v>121.5</v>
      </c>
    </row>
    <row r="15" spans="1:6">
      <c r="A15" s="36">
        <v>5</v>
      </c>
      <c r="B15" s="37" t="s">
        <v>343</v>
      </c>
      <c r="C15" s="36" t="s">
        <v>339</v>
      </c>
      <c r="D15" s="38">
        <v>2</v>
      </c>
      <c r="E15" s="39">
        <v>14</v>
      </c>
      <c r="F15" s="40">
        <f t="shared" si="0"/>
        <v>28</v>
      </c>
    </row>
    <row r="16" spans="1:6">
      <c r="A16" s="36">
        <v>6</v>
      </c>
      <c r="B16" s="37" t="s">
        <v>344</v>
      </c>
      <c r="C16" s="36" t="s">
        <v>339</v>
      </c>
      <c r="D16" s="38">
        <v>2</v>
      </c>
      <c r="E16" s="39">
        <v>11.38</v>
      </c>
      <c r="F16" s="40">
        <f t="shared" si="0"/>
        <v>22.76</v>
      </c>
    </row>
    <row r="17" spans="1:6">
      <c r="A17" s="36">
        <v>7</v>
      </c>
      <c r="B17" s="37" t="s">
        <v>345</v>
      </c>
      <c r="C17" s="36" t="s">
        <v>339</v>
      </c>
      <c r="D17" s="38">
        <v>2</v>
      </c>
      <c r="E17" s="39">
        <v>12.87</v>
      </c>
      <c r="F17" s="40">
        <f t="shared" si="0"/>
        <v>25.74</v>
      </c>
    </row>
    <row r="18" spans="1:6">
      <c r="A18" s="36">
        <v>8</v>
      </c>
      <c r="B18" s="37" t="s">
        <v>346</v>
      </c>
      <c r="C18" s="36" t="s">
        <v>339</v>
      </c>
      <c r="D18" s="38">
        <v>2</v>
      </c>
      <c r="E18" s="39">
        <v>27.23</v>
      </c>
      <c r="F18" s="40">
        <f t="shared" si="0"/>
        <v>54.46</v>
      </c>
    </row>
    <row r="19" spans="1:6">
      <c r="A19" s="36">
        <v>9</v>
      </c>
      <c r="B19" s="37" t="s">
        <v>347</v>
      </c>
      <c r="C19" s="36" t="s">
        <v>339</v>
      </c>
      <c r="D19" s="38">
        <v>2</v>
      </c>
      <c r="E19" s="39">
        <v>9.61</v>
      </c>
      <c r="F19" s="40">
        <f t="shared" si="0"/>
        <v>19.22</v>
      </c>
    </row>
    <row r="20" spans="1:6">
      <c r="A20" s="36">
        <v>10</v>
      </c>
      <c r="B20" s="37" t="s">
        <v>348</v>
      </c>
      <c r="C20" s="36" t="s">
        <v>339</v>
      </c>
      <c r="D20" s="38">
        <v>2</v>
      </c>
      <c r="E20" s="39">
        <v>9.71</v>
      </c>
      <c r="F20" s="40">
        <f t="shared" si="0"/>
        <v>19.42</v>
      </c>
    </row>
    <row r="21" spans="1:6">
      <c r="A21" s="36">
        <v>11</v>
      </c>
      <c r="B21" s="37" t="s">
        <v>349</v>
      </c>
      <c r="C21" s="36" t="s">
        <v>339</v>
      </c>
      <c r="D21" s="38">
        <v>1</v>
      </c>
      <c r="E21" s="39">
        <v>35.31</v>
      </c>
      <c r="F21" s="40">
        <f t="shared" si="0"/>
        <v>35.31</v>
      </c>
    </row>
    <row r="22" spans="1:6">
      <c r="A22" s="36">
        <v>12</v>
      </c>
      <c r="B22" s="37" t="s">
        <v>350</v>
      </c>
      <c r="C22" s="36" t="s">
        <v>339</v>
      </c>
      <c r="D22" s="38">
        <v>2</v>
      </c>
      <c r="E22" s="39">
        <v>13</v>
      </c>
      <c r="F22" s="40">
        <f t="shared" si="0"/>
        <v>26</v>
      </c>
    </row>
    <row r="23" spans="1:6">
      <c r="A23" s="36">
        <v>13</v>
      </c>
      <c r="B23" s="37" t="s">
        <v>351</v>
      </c>
      <c r="C23" s="36" t="s">
        <v>339</v>
      </c>
      <c r="D23" s="38">
        <v>1</v>
      </c>
      <c r="E23" s="39">
        <v>98</v>
      </c>
      <c r="F23" s="40">
        <f t="shared" si="0"/>
        <v>98</v>
      </c>
    </row>
    <row r="24" spans="1:6">
      <c r="A24" s="36">
        <v>14</v>
      </c>
      <c r="B24" s="37" t="s">
        <v>352</v>
      </c>
      <c r="C24" s="36" t="s">
        <v>339</v>
      </c>
      <c r="D24" s="38">
        <v>1</v>
      </c>
      <c r="E24" s="39">
        <v>150</v>
      </c>
      <c r="F24" s="40">
        <f t="shared" si="0"/>
        <v>150</v>
      </c>
    </row>
    <row r="25" spans="1:6">
      <c r="A25" s="36">
        <v>15</v>
      </c>
      <c r="B25" s="37" t="s">
        <v>353</v>
      </c>
      <c r="C25" s="36" t="s">
        <v>339</v>
      </c>
      <c r="D25" s="38">
        <v>2</v>
      </c>
      <c r="E25" s="39">
        <v>39.83</v>
      </c>
      <c r="F25" s="40">
        <f t="shared" si="0"/>
        <v>79.66</v>
      </c>
    </row>
    <row r="26" ht="28.5" spans="1:6">
      <c r="A26" s="36">
        <v>16</v>
      </c>
      <c r="B26" s="37" t="s">
        <v>354</v>
      </c>
      <c r="C26" s="36" t="s">
        <v>339</v>
      </c>
      <c r="D26" s="38">
        <v>2</v>
      </c>
      <c r="E26" s="39">
        <v>92.6</v>
      </c>
      <c r="F26" s="40">
        <f t="shared" si="0"/>
        <v>185.2</v>
      </c>
    </row>
    <row r="27" spans="1:6">
      <c r="A27" s="36">
        <v>17</v>
      </c>
      <c r="B27" s="37" t="s">
        <v>355</v>
      </c>
      <c r="C27" s="36" t="s">
        <v>339</v>
      </c>
      <c r="D27" s="38">
        <v>4</v>
      </c>
      <c r="E27" s="39">
        <v>5.7</v>
      </c>
      <c r="F27" s="40">
        <f t="shared" si="0"/>
        <v>22.8</v>
      </c>
    </row>
    <row r="28" spans="1:6">
      <c r="A28" s="36">
        <v>18</v>
      </c>
      <c r="B28" s="37" t="s">
        <v>356</v>
      </c>
      <c r="C28" s="36" t="s">
        <v>339</v>
      </c>
      <c r="D28" s="38">
        <v>2</v>
      </c>
      <c r="E28" s="39">
        <v>18.02</v>
      </c>
      <c r="F28" s="40">
        <f t="shared" si="0"/>
        <v>36.04</v>
      </c>
    </row>
    <row r="29" spans="1:6">
      <c r="A29" s="36">
        <v>19</v>
      </c>
      <c r="B29" s="37" t="s">
        <v>357</v>
      </c>
      <c r="C29" s="36" t="s">
        <v>339</v>
      </c>
      <c r="D29" s="38">
        <v>1</v>
      </c>
      <c r="E29" s="39">
        <v>41.23</v>
      </c>
      <c r="F29" s="40">
        <f t="shared" si="0"/>
        <v>41.23</v>
      </c>
    </row>
    <row r="30" spans="1:6">
      <c r="A30" s="36">
        <v>20</v>
      </c>
      <c r="B30" s="37" t="s">
        <v>358</v>
      </c>
      <c r="C30" s="36" t="s">
        <v>339</v>
      </c>
      <c r="D30" s="38">
        <v>1</v>
      </c>
      <c r="E30" s="39">
        <v>51.93</v>
      </c>
      <c r="F30" s="40">
        <f t="shared" si="0"/>
        <v>51.93</v>
      </c>
    </row>
    <row r="31" spans="1:6">
      <c r="A31" s="36">
        <v>21</v>
      </c>
      <c r="B31" s="37" t="s">
        <v>359</v>
      </c>
      <c r="C31" s="36" t="s">
        <v>339</v>
      </c>
      <c r="D31" s="38">
        <v>1</v>
      </c>
      <c r="E31" s="39">
        <v>34.25</v>
      </c>
      <c r="F31" s="40">
        <f t="shared" si="0"/>
        <v>34.25</v>
      </c>
    </row>
    <row r="32" spans="1:6">
      <c r="A32" s="36">
        <v>22</v>
      </c>
      <c r="B32" s="37" t="s">
        <v>360</v>
      </c>
      <c r="C32" s="36" t="s">
        <v>339</v>
      </c>
      <c r="D32" s="38">
        <v>1</v>
      </c>
      <c r="E32" s="39">
        <v>19.19</v>
      </c>
      <c r="F32" s="40">
        <f t="shared" si="0"/>
        <v>19.19</v>
      </c>
    </row>
    <row r="33" spans="1:6">
      <c r="A33" s="36">
        <v>23</v>
      </c>
      <c r="B33" s="37" t="s">
        <v>361</v>
      </c>
      <c r="C33" s="36" t="s">
        <v>339</v>
      </c>
      <c r="D33" s="38">
        <v>1</v>
      </c>
      <c r="E33" s="39">
        <v>27.99</v>
      </c>
      <c r="F33" s="40">
        <f t="shared" si="0"/>
        <v>27.99</v>
      </c>
    </row>
    <row r="34" spans="1:6">
      <c r="A34" s="36">
        <v>24</v>
      </c>
      <c r="B34" s="37" t="s">
        <v>362</v>
      </c>
      <c r="C34" s="36" t="s">
        <v>339</v>
      </c>
      <c r="D34" s="38">
        <v>1</v>
      </c>
      <c r="E34" s="39">
        <v>10.28</v>
      </c>
      <c r="F34" s="40">
        <f t="shared" si="0"/>
        <v>10.28</v>
      </c>
    </row>
    <row r="35" spans="1:6">
      <c r="A35" s="36">
        <v>25</v>
      </c>
      <c r="B35" s="37" t="s">
        <v>363</v>
      </c>
      <c r="C35" s="36" t="s">
        <v>339</v>
      </c>
      <c r="D35" s="38">
        <v>1</v>
      </c>
      <c r="E35" s="39">
        <v>14.3</v>
      </c>
      <c r="F35" s="40">
        <f t="shared" si="0"/>
        <v>14.3</v>
      </c>
    </row>
    <row r="36" spans="1:6">
      <c r="A36" s="36">
        <v>26</v>
      </c>
      <c r="B36" s="37" t="s">
        <v>364</v>
      </c>
      <c r="C36" s="36" t="s">
        <v>339</v>
      </c>
      <c r="D36" s="38">
        <v>1</v>
      </c>
      <c r="E36" s="39">
        <v>58.65</v>
      </c>
      <c r="F36" s="40">
        <f t="shared" si="0"/>
        <v>58.65</v>
      </c>
    </row>
    <row r="37" spans="1:6">
      <c r="A37" s="36">
        <v>27</v>
      </c>
      <c r="B37" s="37" t="s">
        <v>365</v>
      </c>
      <c r="C37" s="36" t="s">
        <v>339</v>
      </c>
      <c r="D37" s="38">
        <v>3</v>
      </c>
      <c r="E37" s="39">
        <v>31.28</v>
      </c>
      <c r="F37" s="40">
        <f t="shared" si="0"/>
        <v>93.84</v>
      </c>
    </row>
    <row r="38" spans="1:6">
      <c r="A38" s="36">
        <v>28</v>
      </c>
      <c r="B38" s="37" t="s">
        <v>366</v>
      </c>
      <c r="C38" s="36" t="s">
        <v>339</v>
      </c>
      <c r="D38" s="38">
        <v>3</v>
      </c>
      <c r="E38" s="39">
        <v>24</v>
      </c>
      <c r="F38" s="40">
        <f t="shared" si="0"/>
        <v>72</v>
      </c>
    </row>
    <row r="39" spans="1:6">
      <c r="A39" s="36">
        <v>29</v>
      </c>
      <c r="B39" s="37" t="s">
        <v>367</v>
      </c>
      <c r="C39" s="36" t="s">
        <v>339</v>
      </c>
      <c r="D39" s="38">
        <v>2</v>
      </c>
      <c r="E39" s="39">
        <v>52.19</v>
      </c>
      <c r="F39" s="40">
        <f t="shared" si="0"/>
        <v>104.38</v>
      </c>
    </row>
    <row r="40" spans="1:6">
      <c r="A40" s="36">
        <v>30</v>
      </c>
      <c r="B40" s="37" t="s">
        <v>368</v>
      </c>
      <c r="C40" s="36" t="s">
        <v>339</v>
      </c>
      <c r="D40" s="38">
        <v>1</v>
      </c>
      <c r="E40" s="39">
        <v>33.39</v>
      </c>
      <c r="F40" s="40">
        <f t="shared" si="0"/>
        <v>33.39</v>
      </c>
    </row>
    <row r="41" spans="1:6">
      <c r="A41" s="36">
        <v>31</v>
      </c>
      <c r="B41" s="37" t="s">
        <v>369</v>
      </c>
      <c r="C41" s="36" t="s">
        <v>339</v>
      </c>
      <c r="D41" s="38">
        <v>1</v>
      </c>
      <c r="E41" s="39">
        <v>53.87</v>
      </c>
      <c r="F41" s="40">
        <f t="shared" si="0"/>
        <v>53.87</v>
      </c>
    </row>
    <row r="42" spans="1:6">
      <c r="A42" s="36">
        <v>32</v>
      </c>
      <c r="B42" s="37" t="s">
        <v>370</v>
      </c>
      <c r="C42" s="36" t="s">
        <v>339</v>
      </c>
      <c r="D42" s="38">
        <v>1</v>
      </c>
      <c r="E42" s="39">
        <v>22.58</v>
      </c>
      <c r="F42" s="40">
        <f t="shared" si="0"/>
        <v>22.58</v>
      </c>
    </row>
    <row r="43" spans="1:6">
      <c r="A43" s="36">
        <v>33</v>
      </c>
      <c r="B43" s="37" t="s">
        <v>371</v>
      </c>
      <c r="C43" s="36" t="s">
        <v>339</v>
      </c>
      <c r="D43" s="38">
        <v>1</v>
      </c>
      <c r="E43" s="39">
        <v>17.56</v>
      </c>
      <c r="F43" s="40">
        <f t="shared" si="0"/>
        <v>17.56</v>
      </c>
    </row>
    <row r="44" spans="1:6">
      <c r="A44" s="36">
        <v>34</v>
      </c>
      <c r="B44" s="37" t="s">
        <v>372</v>
      </c>
      <c r="C44" s="36" t="s">
        <v>339</v>
      </c>
      <c r="D44" s="38">
        <v>1</v>
      </c>
      <c r="E44" s="39">
        <v>40</v>
      </c>
      <c r="F44" s="40">
        <f t="shared" si="0"/>
        <v>40</v>
      </c>
    </row>
    <row r="45" spans="1:6">
      <c r="A45" s="36">
        <v>35</v>
      </c>
      <c r="B45" s="37" t="s">
        <v>373</v>
      </c>
      <c r="C45" s="36" t="s">
        <v>339</v>
      </c>
      <c r="D45" s="38">
        <v>1</v>
      </c>
      <c r="E45" s="39">
        <v>25.55</v>
      </c>
      <c r="F45" s="40">
        <f t="shared" si="0"/>
        <v>25.55</v>
      </c>
    </row>
    <row r="46" spans="1:6">
      <c r="A46" s="36">
        <v>36</v>
      </c>
      <c r="B46" s="37" t="s">
        <v>374</v>
      </c>
      <c r="C46" s="36" t="s">
        <v>339</v>
      </c>
      <c r="D46" s="38">
        <v>1</v>
      </c>
      <c r="E46" s="39">
        <v>39.34</v>
      </c>
      <c r="F46" s="40">
        <f t="shared" si="0"/>
        <v>39.34</v>
      </c>
    </row>
    <row r="47" spans="1:6">
      <c r="A47" s="36">
        <v>37</v>
      </c>
      <c r="B47" s="37" t="s">
        <v>375</v>
      </c>
      <c r="C47" s="36" t="s">
        <v>339</v>
      </c>
      <c r="D47" s="38">
        <v>2</v>
      </c>
      <c r="E47" s="39">
        <v>13.75</v>
      </c>
      <c r="F47" s="40">
        <f t="shared" si="0"/>
        <v>27.5</v>
      </c>
    </row>
    <row r="48" spans="1:6">
      <c r="A48" s="36">
        <v>38</v>
      </c>
      <c r="B48" s="37" t="s">
        <v>376</v>
      </c>
      <c r="C48" s="36" t="s">
        <v>339</v>
      </c>
      <c r="D48" s="38">
        <v>1</v>
      </c>
      <c r="E48" s="39">
        <v>20.17</v>
      </c>
      <c r="F48" s="40">
        <f t="shared" si="0"/>
        <v>20.17</v>
      </c>
    </row>
    <row r="49" spans="1:6">
      <c r="A49" s="36">
        <v>39</v>
      </c>
      <c r="B49" s="37" t="s">
        <v>377</v>
      </c>
      <c r="C49" s="36" t="s">
        <v>339</v>
      </c>
      <c r="D49" s="38">
        <v>1</v>
      </c>
      <c r="E49" s="39">
        <v>30.26</v>
      </c>
      <c r="F49" s="40">
        <f t="shared" si="0"/>
        <v>30.26</v>
      </c>
    </row>
    <row r="50" spans="1:6">
      <c r="A50" s="36">
        <v>40</v>
      </c>
      <c r="B50" s="37" t="s">
        <v>378</v>
      </c>
      <c r="C50" s="36" t="s">
        <v>339</v>
      </c>
      <c r="D50" s="38">
        <v>1</v>
      </c>
      <c r="E50" s="39">
        <v>21.32</v>
      </c>
      <c r="F50" s="40">
        <f t="shared" si="0"/>
        <v>21.32</v>
      </c>
    </row>
    <row r="51" spans="1:6">
      <c r="A51" s="36">
        <v>41</v>
      </c>
      <c r="B51" s="37" t="s">
        <v>379</v>
      </c>
      <c r="C51" s="36" t="s">
        <v>339</v>
      </c>
      <c r="D51" s="38">
        <v>1</v>
      </c>
      <c r="E51" s="39">
        <v>9.31</v>
      </c>
      <c r="F51" s="40">
        <f t="shared" si="0"/>
        <v>9.31</v>
      </c>
    </row>
    <row r="52" spans="1:6">
      <c r="A52" s="36">
        <v>42</v>
      </c>
      <c r="B52" s="37" t="s">
        <v>380</v>
      </c>
      <c r="C52" s="36" t="s">
        <v>339</v>
      </c>
      <c r="D52" s="38">
        <v>2</v>
      </c>
      <c r="E52" s="39">
        <v>11.47</v>
      </c>
      <c r="F52" s="40">
        <f t="shared" si="0"/>
        <v>22.94</v>
      </c>
    </row>
    <row r="53" spans="1:6">
      <c r="A53" s="36">
        <v>43</v>
      </c>
      <c r="B53" s="37" t="s">
        <v>381</v>
      </c>
      <c r="C53" s="36" t="s">
        <v>339</v>
      </c>
      <c r="D53" s="38">
        <v>1</v>
      </c>
      <c r="E53" s="39">
        <v>9.12</v>
      </c>
      <c r="F53" s="40">
        <f t="shared" si="0"/>
        <v>9.12</v>
      </c>
    </row>
    <row r="54" spans="1:6">
      <c r="A54" s="36">
        <v>44</v>
      </c>
      <c r="B54" s="37" t="s">
        <v>382</v>
      </c>
      <c r="C54" s="36" t="s">
        <v>339</v>
      </c>
      <c r="D54" s="38">
        <v>1</v>
      </c>
      <c r="E54" s="39">
        <v>31.96</v>
      </c>
      <c r="F54" s="40">
        <f t="shared" si="0"/>
        <v>31.96</v>
      </c>
    </row>
    <row r="55" spans="1:6">
      <c r="A55" s="36">
        <v>45</v>
      </c>
      <c r="B55" s="37" t="s">
        <v>383</v>
      </c>
      <c r="C55" s="36" t="s">
        <v>339</v>
      </c>
      <c r="D55" s="38">
        <v>2</v>
      </c>
      <c r="E55" s="39">
        <v>17.48</v>
      </c>
      <c r="F55" s="40">
        <f t="shared" si="0"/>
        <v>34.96</v>
      </c>
    </row>
    <row r="56" spans="1:6">
      <c r="A56" s="36">
        <v>46</v>
      </c>
      <c r="B56" s="37" t="s">
        <v>384</v>
      </c>
      <c r="C56" s="36" t="s">
        <v>339</v>
      </c>
      <c r="D56" s="38">
        <v>1</v>
      </c>
      <c r="E56" s="39">
        <v>67.59</v>
      </c>
      <c r="F56" s="40">
        <f t="shared" si="0"/>
        <v>67.59</v>
      </c>
    </row>
    <row r="57" spans="1:6">
      <c r="A57" s="36">
        <v>47</v>
      </c>
      <c r="B57" s="37" t="s">
        <v>385</v>
      </c>
      <c r="C57" s="36" t="s">
        <v>339</v>
      </c>
      <c r="D57" s="38">
        <v>2</v>
      </c>
      <c r="E57" s="39">
        <v>36</v>
      </c>
      <c r="F57" s="40">
        <f t="shared" si="0"/>
        <v>72</v>
      </c>
    </row>
    <row r="58" spans="1:6">
      <c r="A58" s="36">
        <v>48</v>
      </c>
      <c r="B58" s="37" t="s">
        <v>386</v>
      </c>
      <c r="C58" s="36" t="s">
        <v>339</v>
      </c>
      <c r="D58" s="38">
        <v>1</v>
      </c>
      <c r="E58" s="39">
        <v>15.8</v>
      </c>
      <c r="F58" s="40">
        <f t="shared" si="0"/>
        <v>15.8</v>
      </c>
    </row>
    <row r="59" spans="1:6">
      <c r="A59" s="36">
        <v>49</v>
      </c>
      <c r="B59" s="37" t="s">
        <v>387</v>
      </c>
      <c r="C59" s="36" t="s">
        <v>339</v>
      </c>
      <c r="D59" s="38">
        <v>5</v>
      </c>
      <c r="E59" s="39">
        <v>6.3</v>
      </c>
      <c r="F59" s="40">
        <f t="shared" si="0"/>
        <v>31.5</v>
      </c>
    </row>
    <row r="60" spans="1:6">
      <c r="A60" s="36">
        <v>50</v>
      </c>
      <c r="B60" s="37" t="s">
        <v>388</v>
      </c>
      <c r="C60" s="36" t="s">
        <v>339</v>
      </c>
      <c r="D60" s="38">
        <v>2</v>
      </c>
      <c r="E60" s="39">
        <v>5.88</v>
      </c>
      <c r="F60" s="40">
        <f t="shared" si="0"/>
        <v>11.76</v>
      </c>
    </row>
    <row r="61" spans="1:6">
      <c r="A61" s="36">
        <v>51</v>
      </c>
      <c r="B61" s="37" t="s">
        <v>389</v>
      </c>
      <c r="C61" s="36" t="s">
        <v>339</v>
      </c>
      <c r="D61" s="38">
        <v>5</v>
      </c>
      <c r="E61" s="39">
        <v>5.63</v>
      </c>
      <c r="F61" s="40">
        <f t="shared" si="0"/>
        <v>28.15</v>
      </c>
    </row>
    <row r="62" spans="1:6">
      <c r="A62" s="36">
        <v>52</v>
      </c>
      <c r="B62" s="37" t="s">
        <v>390</v>
      </c>
      <c r="C62" s="36" t="s">
        <v>339</v>
      </c>
      <c r="D62" s="38">
        <v>5</v>
      </c>
      <c r="E62" s="39">
        <v>8</v>
      </c>
      <c r="F62" s="40">
        <f t="shared" si="0"/>
        <v>40</v>
      </c>
    </row>
    <row r="63" spans="1:6">
      <c r="A63" s="36">
        <v>53</v>
      </c>
      <c r="B63" s="37" t="s">
        <v>391</v>
      </c>
      <c r="C63" s="36" t="s">
        <v>339</v>
      </c>
      <c r="D63" s="38">
        <v>2</v>
      </c>
      <c r="E63" s="39">
        <v>27.67</v>
      </c>
      <c r="F63" s="40">
        <f t="shared" si="0"/>
        <v>55.34</v>
      </c>
    </row>
    <row r="64" spans="1:6">
      <c r="A64" s="36">
        <v>54</v>
      </c>
      <c r="B64" s="37" t="s">
        <v>392</v>
      </c>
      <c r="C64" s="36" t="s">
        <v>339</v>
      </c>
      <c r="D64" s="38">
        <v>2</v>
      </c>
      <c r="E64" s="39">
        <v>6.79</v>
      </c>
      <c r="F64" s="40">
        <f t="shared" si="0"/>
        <v>13.58</v>
      </c>
    </row>
    <row r="65" spans="1:6">
      <c r="A65" s="36">
        <v>55</v>
      </c>
      <c r="B65" s="37" t="s">
        <v>393</v>
      </c>
      <c r="C65" s="36" t="s">
        <v>339</v>
      </c>
      <c r="D65" s="38">
        <v>2</v>
      </c>
      <c r="E65" s="39">
        <v>5.9</v>
      </c>
      <c r="F65" s="40">
        <f t="shared" si="0"/>
        <v>11.8</v>
      </c>
    </row>
    <row r="66" spans="1:6">
      <c r="A66" s="36">
        <v>56</v>
      </c>
      <c r="B66" s="37" t="s">
        <v>394</v>
      </c>
      <c r="C66" s="36" t="s">
        <v>339</v>
      </c>
      <c r="D66" s="38">
        <v>2</v>
      </c>
      <c r="E66" s="39">
        <v>23.73</v>
      </c>
      <c r="F66" s="40">
        <f t="shared" si="0"/>
        <v>47.46</v>
      </c>
    </row>
    <row r="67" spans="1:6">
      <c r="A67" s="36">
        <v>57</v>
      </c>
      <c r="B67" s="37" t="s">
        <v>395</v>
      </c>
      <c r="C67" s="36" t="s">
        <v>339</v>
      </c>
      <c r="D67" s="38">
        <v>1</v>
      </c>
      <c r="E67" s="39">
        <v>9</v>
      </c>
      <c r="F67" s="40">
        <f t="shared" si="0"/>
        <v>9</v>
      </c>
    </row>
    <row r="68" spans="1:6">
      <c r="A68" s="36">
        <v>58</v>
      </c>
      <c r="B68" s="37" t="s">
        <v>396</v>
      </c>
      <c r="C68" s="36" t="s">
        <v>339</v>
      </c>
      <c r="D68" s="38">
        <v>1</v>
      </c>
      <c r="E68" s="39">
        <v>62.69</v>
      </c>
      <c r="F68" s="40">
        <f t="shared" si="0"/>
        <v>62.69</v>
      </c>
    </row>
    <row r="69" spans="1:6">
      <c r="A69" s="36">
        <v>59</v>
      </c>
      <c r="B69" s="37" t="s">
        <v>397</v>
      </c>
      <c r="C69" s="36" t="s">
        <v>339</v>
      </c>
      <c r="D69" s="38">
        <v>1</v>
      </c>
      <c r="E69" s="39">
        <v>36.68</v>
      </c>
      <c r="F69" s="40">
        <f t="shared" si="0"/>
        <v>36.68</v>
      </c>
    </row>
    <row r="70" spans="1:6">
      <c r="A70" s="36">
        <v>60</v>
      </c>
      <c r="B70" s="37" t="s">
        <v>398</v>
      </c>
      <c r="C70" s="36" t="s">
        <v>339</v>
      </c>
      <c r="D70" s="38">
        <v>1</v>
      </c>
      <c r="E70" s="39">
        <v>57.67</v>
      </c>
      <c r="F70" s="40">
        <f t="shared" si="0"/>
        <v>57.67</v>
      </c>
    </row>
    <row r="71" spans="1:6">
      <c r="A71" s="36">
        <v>61</v>
      </c>
      <c r="B71" s="37" t="s">
        <v>399</v>
      </c>
      <c r="C71" s="36" t="s">
        <v>339</v>
      </c>
      <c r="D71" s="38">
        <v>1</v>
      </c>
      <c r="E71" s="39">
        <v>53.87</v>
      </c>
      <c r="F71" s="40">
        <f t="shared" si="0"/>
        <v>53.87</v>
      </c>
    </row>
    <row r="72" spans="1:6">
      <c r="A72" s="36">
        <v>62</v>
      </c>
      <c r="B72" s="37" t="s">
        <v>400</v>
      </c>
      <c r="C72" s="36" t="s">
        <v>339</v>
      </c>
      <c r="D72" s="38">
        <v>1</v>
      </c>
      <c r="E72" s="39">
        <v>38.39</v>
      </c>
      <c r="F72" s="40">
        <f t="shared" si="0"/>
        <v>38.39</v>
      </c>
    </row>
    <row r="73" spans="1:6">
      <c r="A73" s="36">
        <v>63</v>
      </c>
      <c r="B73" s="37" t="s">
        <v>401</v>
      </c>
      <c r="C73" s="36" t="s">
        <v>339</v>
      </c>
      <c r="D73" s="38">
        <v>2</v>
      </c>
      <c r="E73" s="39">
        <v>33.34</v>
      </c>
      <c r="F73" s="40">
        <f t="shared" si="0"/>
        <v>66.68</v>
      </c>
    </row>
    <row r="74" spans="1:6">
      <c r="A74" s="36">
        <v>64</v>
      </c>
      <c r="B74" s="37" t="s">
        <v>402</v>
      </c>
      <c r="C74" s="36" t="s">
        <v>339</v>
      </c>
      <c r="D74" s="38">
        <v>1</v>
      </c>
      <c r="E74" s="39">
        <v>64.59</v>
      </c>
      <c r="F74" s="40">
        <f t="shared" si="0"/>
        <v>64.59</v>
      </c>
    </row>
    <row r="75" spans="1:6">
      <c r="A75" s="36">
        <v>65</v>
      </c>
      <c r="B75" s="37" t="s">
        <v>403</v>
      </c>
      <c r="C75" s="36" t="s">
        <v>339</v>
      </c>
      <c r="D75" s="38">
        <v>1</v>
      </c>
      <c r="E75" s="39">
        <v>39</v>
      </c>
      <c r="F75" s="40">
        <f t="shared" ref="F75:F90" si="1">TRUNC(E75*D75,2)</f>
        <v>39</v>
      </c>
    </row>
    <row r="76" ht="28.5" spans="1:6">
      <c r="A76" s="36">
        <v>66</v>
      </c>
      <c r="B76" s="37" t="s">
        <v>404</v>
      </c>
      <c r="C76" s="36" t="s">
        <v>339</v>
      </c>
      <c r="D76" s="38">
        <v>2</v>
      </c>
      <c r="E76" s="39">
        <v>248.59</v>
      </c>
      <c r="F76" s="40">
        <f t="shared" si="1"/>
        <v>497.18</v>
      </c>
    </row>
    <row r="77" spans="1:6">
      <c r="A77" s="36">
        <v>67</v>
      </c>
      <c r="B77" s="37" t="s">
        <v>405</v>
      </c>
      <c r="C77" s="36" t="s">
        <v>339</v>
      </c>
      <c r="D77" s="38">
        <v>1</v>
      </c>
      <c r="E77" s="39">
        <v>19.52</v>
      </c>
      <c r="F77" s="40">
        <f t="shared" si="1"/>
        <v>19.52</v>
      </c>
    </row>
    <row r="78" spans="1:6">
      <c r="A78" s="36">
        <v>68</v>
      </c>
      <c r="B78" s="37" t="s">
        <v>406</v>
      </c>
      <c r="C78" s="36" t="s">
        <v>339</v>
      </c>
      <c r="D78" s="38">
        <v>1</v>
      </c>
      <c r="E78" s="39">
        <v>5.55</v>
      </c>
      <c r="F78" s="40">
        <f t="shared" si="1"/>
        <v>5.55</v>
      </c>
    </row>
    <row r="79" spans="1:6">
      <c r="A79" s="36">
        <v>69</v>
      </c>
      <c r="B79" s="37" t="s">
        <v>407</v>
      </c>
      <c r="C79" s="36" t="s">
        <v>339</v>
      </c>
      <c r="D79" s="38">
        <v>1</v>
      </c>
      <c r="E79" s="39">
        <v>7.93</v>
      </c>
      <c r="F79" s="40">
        <f t="shared" si="1"/>
        <v>7.93</v>
      </c>
    </row>
    <row r="80" spans="1:6">
      <c r="A80" s="36">
        <v>70</v>
      </c>
      <c r="B80" s="37" t="s">
        <v>408</v>
      </c>
      <c r="C80" s="36" t="s">
        <v>339</v>
      </c>
      <c r="D80" s="38">
        <v>1</v>
      </c>
      <c r="E80" s="39">
        <v>58.03</v>
      </c>
      <c r="F80" s="40">
        <f t="shared" si="1"/>
        <v>58.03</v>
      </c>
    </row>
    <row r="81" spans="1:6">
      <c r="A81" s="36">
        <v>71</v>
      </c>
      <c r="B81" s="37" t="s">
        <v>409</v>
      </c>
      <c r="C81" s="36" t="s">
        <v>339</v>
      </c>
      <c r="D81" s="38">
        <v>1</v>
      </c>
      <c r="E81" s="39">
        <v>31.97</v>
      </c>
      <c r="F81" s="40">
        <f t="shared" si="1"/>
        <v>31.97</v>
      </c>
    </row>
    <row r="82" spans="1:6">
      <c r="A82" s="36">
        <v>72</v>
      </c>
      <c r="B82" s="37" t="s">
        <v>410</v>
      </c>
      <c r="C82" s="36" t="s">
        <v>339</v>
      </c>
      <c r="D82" s="38">
        <v>1</v>
      </c>
      <c r="E82" s="39">
        <v>41.37</v>
      </c>
      <c r="F82" s="40">
        <f t="shared" si="1"/>
        <v>41.37</v>
      </c>
    </row>
    <row r="83" spans="1:6">
      <c r="A83" s="36">
        <v>73</v>
      </c>
      <c r="B83" s="37" t="s">
        <v>411</v>
      </c>
      <c r="C83" s="36" t="s">
        <v>339</v>
      </c>
      <c r="D83" s="38">
        <v>1</v>
      </c>
      <c r="E83" s="39">
        <v>56.37</v>
      </c>
      <c r="F83" s="40">
        <f t="shared" si="1"/>
        <v>56.37</v>
      </c>
    </row>
    <row r="84" spans="1:6">
      <c r="A84" s="36">
        <v>74</v>
      </c>
      <c r="B84" s="37" t="s">
        <v>412</v>
      </c>
      <c r="C84" s="36" t="s">
        <v>339</v>
      </c>
      <c r="D84" s="38">
        <v>1</v>
      </c>
      <c r="E84" s="39">
        <v>64.11</v>
      </c>
      <c r="F84" s="40">
        <f t="shared" si="1"/>
        <v>64.11</v>
      </c>
    </row>
    <row r="85" spans="1:6">
      <c r="A85" s="36">
        <v>75</v>
      </c>
      <c r="B85" s="37" t="s">
        <v>413</v>
      </c>
      <c r="C85" s="36" t="s">
        <v>339</v>
      </c>
      <c r="D85" s="38">
        <v>1</v>
      </c>
      <c r="E85" s="39">
        <v>47.71</v>
      </c>
      <c r="F85" s="40">
        <f t="shared" si="1"/>
        <v>47.71</v>
      </c>
    </row>
    <row r="86" spans="1:6">
      <c r="A86" s="36">
        <v>76</v>
      </c>
      <c r="B86" s="37" t="s">
        <v>414</v>
      </c>
      <c r="C86" s="36" t="s">
        <v>339</v>
      </c>
      <c r="D86" s="38">
        <v>1</v>
      </c>
      <c r="E86" s="39">
        <v>102.92</v>
      </c>
      <c r="F86" s="40">
        <f t="shared" si="1"/>
        <v>102.92</v>
      </c>
    </row>
    <row r="87" spans="1:6">
      <c r="A87" s="36">
        <v>77</v>
      </c>
      <c r="B87" s="37" t="s">
        <v>415</v>
      </c>
      <c r="C87" s="36" t="s">
        <v>339</v>
      </c>
      <c r="D87" s="38">
        <v>1</v>
      </c>
      <c r="E87" s="39">
        <v>74.38</v>
      </c>
      <c r="F87" s="40">
        <f t="shared" si="1"/>
        <v>74.38</v>
      </c>
    </row>
    <row r="88" spans="1:6">
      <c r="A88" s="36">
        <v>78</v>
      </c>
      <c r="B88" s="41" t="s">
        <v>416</v>
      </c>
      <c r="C88" s="36" t="s">
        <v>339</v>
      </c>
      <c r="D88" s="38">
        <v>1</v>
      </c>
      <c r="E88" s="39">
        <v>288.5</v>
      </c>
      <c r="F88" s="40">
        <f t="shared" si="1"/>
        <v>288.5</v>
      </c>
    </row>
    <row r="89" spans="1:6">
      <c r="A89" s="36">
        <v>79</v>
      </c>
      <c r="B89" s="41" t="s">
        <v>417</v>
      </c>
      <c r="C89" s="36" t="s">
        <v>339</v>
      </c>
      <c r="D89" s="38">
        <v>1</v>
      </c>
      <c r="E89" s="39">
        <v>98</v>
      </c>
      <c r="F89" s="40">
        <f t="shared" si="1"/>
        <v>98</v>
      </c>
    </row>
    <row r="90" spans="1:6">
      <c r="A90" s="36">
        <v>80</v>
      </c>
      <c r="B90" s="41" t="s">
        <v>418</v>
      </c>
      <c r="C90" s="36" t="s">
        <v>339</v>
      </c>
      <c r="D90" s="38">
        <v>1</v>
      </c>
      <c r="E90" s="39">
        <v>129.98</v>
      </c>
      <c r="F90" s="40">
        <f t="shared" si="1"/>
        <v>129.98</v>
      </c>
    </row>
    <row r="91" spans="1:6">
      <c r="A91" s="42" t="s">
        <v>337</v>
      </c>
      <c r="B91" s="42"/>
      <c r="C91" s="42"/>
      <c r="D91" s="42"/>
      <c r="E91" s="43">
        <f>TRUNC(SUM(F11:F90),2)</f>
        <v>4469.53</v>
      </c>
      <c r="F91" s="43"/>
    </row>
    <row r="92" spans="1:6">
      <c r="A92" s="42" t="s">
        <v>419</v>
      </c>
      <c r="B92" s="42"/>
      <c r="C92" s="42"/>
      <c r="D92" s="42"/>
      <c r="E92" s="42">
        <v>2</v>
      </c>
      <c r="F92" s="42"/>
    </row>
    <row r="93" spans="1:6">
      <c r="A93" s="42" t="s">
        <v>420</v>
      </c>
      <c r="B93" s="42"/>
      <c r="C93" s="42"/>
      <c r="D93" s="42"/>
      <c r="E93" s="43">
        <f>TRUNC((E91/E92)/12,2)</f>
        <v>186.23</v>
      </c>
      <c r="F93" s="43"/>
    </row>
    <row r="94" spans="1:6">
      <c r="A94" s="44"/>
      <c r="B94" s="44"/>
      <c r="C94" s="44"/>
      <c r="D94" s="45"/>
      <c r="E94" s="44"/>
      <c r="F94" s="44"/>
    </row>
    <row r="95" spans="1:6">
      <c r="A95" s="44"/>
      <c r="B95" s="44"/>
      <c r="C95" s="44"/>
      <c r="D95" s="45"/>
      <c r="E95" s="44"/>
      <c r="F95" s="44"/>
    </row>
    <row r="96" spans="1:6">
      <c r="A96" s="44"/>
      <c r="B96" s="44"/>
      <c r="C96" s="44"/>
      <c r="D96" s="45"/>
      <c r="E96" s="44"/>
      <c r="F96" s="44"/>
    </row>
    <row r="97" spans="1:6">
      <c r="A97" s="46" t="s">
        <v>421</v>
      </c>
      <c r="B97" s="46"/>
      <c r="C97" s="46"/>
      <c r="D97" s="47"/>
      <c r="E97" s="46"/>
      <c r="F97" s="46"/>
    </row>
    <row r="98" ht="28.5" spans="1:6">
      <c r="A98" s="48" t="s">
        <v>270</v>
      </c>
      <c r="B98" s="48" t="s">
        <v>272</v>
      </c>
      <c r="C98" s="48" t="s">
        <v>273</v>
      </c>
      <c r="D98" s="48" t="s">
        <v>336</v>
      </c>
      <c r="E98" s="49" t="s">
        <v>249</v>
      </c>
      <c r="F98" s="49" t="s">
        <v>337</v>
      </c>
    </row>
    <row r="99" spans="1:6">
      <c r="A99" s="36">
        <v>1</v>
      </c>
      <c r="B99" s="50" t="s">
        <v>422</v>
      </c>
      <c r="C99" s="36" t="s">
        <v>339</v>
      </c>
      <c r="D99" s="38">
        <v>1</v>
      </c>
      <c r="E99" s="39">
        <v>252.06</v>
      </c>
      <c r="F99" s="40">
        <f t="shared" ref="F99:F118" si="2">TRUNC(E99*D99,2)</f>
        <v>252.06</v>
      </c>
    </row>
    <row r="100" ht="28.5" spans="1:6">
      <c r="A100" s="36">
        <v>2</v>
      </c>
      <c r="B100" s="50" t="s">
        <v>423</v>
      </c>
      <c r="C100" s="36" t="s">
        <v>339</v>
      </c>
      <c r="D100" s="38">
        <v>1</v>
      </c>
      <c r="E100" s="39">
        <v>1636.81</v>
      </c>
      <c r="F100" s="40">
        <f t="shared" si="2"/>
        <v>1636.81</v>
      </c>
    </row>
    <row r="101" spans="1:6">
      <c r="A101" s="36">
        <v>3</v>
      </c>
      <c r="B101" s="50" t="s">
        <v>424</v>
      </c>
      <c r="C101" s="36" t="s">
        <v>339</v>
      </c>
      <c r="D101" s="38">
        <v>1</v>
      </c>
      <c r="E101" s="39">
        <v>211.12</v>
      </c>
      <c r="F101" s="40">
        <f t="shared" si="2"/>
        <v>211.12</v>
      </c>
    </row>
    <row r="102" spans="1:6">
      <c r="A102" s="36">
        <v>4</v>
      </c>
      <c r="B102" s="41" t="s">
        <v>425</v>
      </c>
      <c r="C102" s="36" t="s">
        <v>339</v>
      </c>
      <c r="D102" s="38">
        <v>1</v>
      </c>
      <c r="E102" s="39">
        <v>221.04</v>
      </c>
      <c r="F102" s="40">
        <f t="shared" si="2"/>
        <v>221.04</v>
      </c>
    </row>
    <row r="103" ht="28.5" spans="1:6">
      <c r="A103" s="36">
        <v>5</v>
      </c>
      <c r="B103" s="41" t="s">
        <v>426</v>
      </c>
      <c r="C103" s="36" t="s">
        <v>339</v>
      </c>
      <c r="D103" s="38">
        <v>15</v>
      </c>
      <c r="E103" s="39">
        <v>178.67</v>
      </c>
      <c r="F103" s="40">
        <f t="shared" si="2"/>
        <v>2680.05</v>
      </c>
    </row>
    <row r="104" spans="1:6">
      <c r="A104" s="36">
        <v>6</v>
      </c>
      <c r="B104" s="50" t="s">
        <v>427</v>
      </c>
      <c r="C104" s="36" t="s">
        <v>339</v>
      </c>
      <c r="D104" s="38">
        <v>1</v>
      </c>
      <c r="E104" s="39">
        <v>670.15</v>
      </c>
      <c r="F104" s="40">
        <f t="shared" si="2"/>
        <v>670.15</v>
      </c>
    </row>
    <row r="105" spans="1:6">
      <c r="A105" s="36">
        <v>7</v>
      </c>
      <c r="B105" s="50" t="s">
        <v>428</v>
      </c>
      <c r="C105" s="36" t="s">
        <v>339</v>
      </c>
      <c r="D105" s="38">
        <v>1</v>
      </c>
      <c r="E105" s="39">
        <v>284</v>
      </c>
      <c r="F105" s="40">
        <f t="shared" si="2"/>
        <v>284</v>
      </c>
    </row>
    <row r="106" spans="1:6">
      <c r="A106" s="36">
        <v>8</v>
      </c>
      <c r="B106" s="50" t="s">
        <v>429</v>
      </c>
      <c r="C106" s="36" t="s">
        <v>339</v>
      </c>
      <c r="D106" s="38">
        <v>1</v>
      </c>
      <c r="E106" s="39">
        <v>295.17</v>
      </c>
      <c r="F106" s="40">
        <f t="shared" si="2"/>
        <v>295.17</v>
      </c>
    </row>
    <row r="107" spans="1:6">
      <c r="A107" s="36">
        <v>9</v>
      </c>
      <c r="B107" s="41" t="s">
        <v>430</v>
      </c>
      <c r="C107" s="36" t="s">
        <v>339</v>
      </c>
      <c r="D107" s="38">
        <v>1</v>
      </c>
      <c r="E107" s="39">
        <v>323.61</v>
      </c>
      <c r="F107" s="40">
        <f t="shared" si="2"/>
        <v>323.61</v>
      </c>
    </row>
    <row r="108" spans="1:6">
      <c r="A108" s="36">
        <v>10</v>
      </c>
      <c r="B108" s="50" t="s">
        <v>431</v>
      </c>
      <c r="C108" s="36" t="s">
        <v>339</v>
      </c>
      <c r="D108" s="38">
        <v>1</v>
      </c>
      <c r="E108" s="39">
        <v>455.33</v>
      </c>
      <c r="F108" s="40">
        <f t="shared" si="2"/>
        <v>455.33</v>
      </c>
    </row>
    <row r="109" spans="1:6">
      <c r="A109" s="36">
        <v>11</v>
      </c>
      <c r="B109" s="41" t="s">
        <v>432</v>
      </c>
      <c r="C109" s="36" t="s">
        <v>339</v>
      </c>
      <c r="D109" s="38">
        <v>1</v>
      </c>
      <c r="E109" s="39">
        <v>351</v>
      </c>
      <c r="F109" s="40">
        <f t="shared" si="2"/>
        <v>351</v>
      </c>
    </row>
    <row r="110" spans="1:6">
      <c r="A110" s="36">
        <v>12</v>
      </c>
      <c r="B110" s="41" t="s">
        <v>433</v>
      </c>
      <c r="C110" s="36" t="s">
        <v>339</v>
      </c>
      <c r="D110" s="38">
        <v>1</v>
      </c>
      <c r="E110" s="39">
        <v>270</v>
      </c>
      <c r="F110" s="40">
        <f t="shared" si="2"/>
        <v>270</v>
      </c>
    </row>
    <row r="111" spans="1:6">
      <c r="A111" s="36">
        <v>13</v>
      </c>
      <c r="B111" s="50" t="s">
        <v>434</v>
      </c>
      <c r="C111" s="36" t="s">
        <v>339</v>
      </c>
      <c r="D111" s="38">
        <v>1</v>
      </c>
      <c r="E111" s="39">
        <v>457.22</v>
      </c>
      <c r="F111" s="40">
        <f t="shared" si="2"/>
        <v>457.22</v>
      </c>
    </row>
    <row r="112" spans="1:6">
      <c r="A112" s="36">
        <v>14</v>
      </c>
      <c r="B112" s="41" t="s">
        <v>435</v>
      </c>
      <c r="C112" s="36" t="s">
        <v>339</v>
      </c>
      <c r="D112" s="38">
        <v>1</v>
      </c>
      <c r="E112" s="39">
        <v>269.99</v>
      </c>
      <c r="F112" s="40">
        <f t="shared" si="2"/>
        <v>269.99</v>
      </c>
    </row>
    <row r="113" spans="1:6">
      <c r="A113" s="36">
        <v>15</v>
      </c>
      <c r="B113" s="50" t="s">
        <v>436</v>
      </c>
      <c r="C113" s="36" t="s">
        <v>339</v>
      </c>
      <c r="D113" s="38">
        <v>1</v>
      </c>
      <c r="E113" s="39">
        <v>1021.1</v>
      </c>
      <c r="F113" s="40">
        <f t="shared" si="2"/>
        <v>1021.1</v>
      </c>
    </row>
    <row r="114" spans="1:6">
      <c r="A114" s="36">
        <v>16</v>
      </c>
      <c r="B114" s="41" t="s">
        <v>437</v>
      </c>
      <c r="C114" s="36" t="s">
        <v>339</v>
      </c>
      <c r="D114" s="38">
        <v>1</v>
      </c>
      <c r="E114" s="39">
        <v>174.28</v>
      </c>
      <c r="F114" s="40">
        <f t="shared" si="2"/>
        <v>174.28</v>
      </c>
    </row>
    <row r="115" spans="1:6">
      <c r="A115" s="36">
        <v>17</v>
      </c>
      <c r="B115" s="50" t="s">
        <v>438</v>
      </c>
      <c r="C115" s="36" t="s">
        <v>339</v>
      </c>
      <c r="D115" s="38">
        <v>1</v>
      </c>
      <c r="E115" s="39">
        <v>127.72</v>
      </c>
      <c r="F115" s="40">
        <f t="shared" si="2"/>
        <v>127.72</v>
      </c>
    </row>
    <row r="116" spans="1:6">
      <c r="A116" s="36">
        <v>18</v>
      </c>
      <c r="B116" s="41" t="s">
        <v>439</v>
      </c>
      <c r="C116" s="36" t="s">
        <v>339</v>
      </c>
      <c r="D116" s="38">
        <v>1</v>
      </c>
      <c r="E116" s="39">
        <v>241.42</v>
      </c>
      <c r="F116" s="40">
        <f t="shared" si="2"/>
        <v>241.42</v>
      </c>
    </row>
    <row r="117" spans="1:6">
      <c r="A117" s="36">
        <v>19</v>
      </c>
      <c r="B117" s="41" t="s">
        <v>440</v>
      </c>
      <c r="C117" s="36" t="s">
        <v>339</v>
      </c>
      <c r="D117" s="38">
        <v>1</v>
      </c>
      <c r="E117" s="39">
        <v>217.7</v>
      </c>
      <c r="F117" s="40">
        <f t="shared" si="2"/>
        <v>217.7</v>
      </c>
    </row>
    <row r="118" spans="1:6">
      <c r="A118" s="36">
        <v>20</v>
      </c>
      <c r="B118" s="41" t="s">
        <v>441</v>
      </c>
      <c r="C118" s="36" t="s">
        <v>339</v>
      </c>
      <c r="D118" s="38">
        <v>1</v>
      </c>
      <c r="E118" s="39">
        <v>170.81</v>
      </c>
      <c r="F118" s="40">
        <f t="shared" si="2"/>
        <v>170.81</v>
      </c>
    </row>
    <row r="119" spans="1:6">
      <c r="A119" s="51" t="s">
        <v>58</v>
      </c>
      <c r="B119" s="52"/>
      <c r="C119" s="53"/>
      <c r="D119" s="45"/>
      <c r="E119" s="53"/>
      <c r="F119" s="54">
        <f>SUBTOTAL(109,Table44[VALOR TOTAL])</f>
        <v>10330.58</v>
      </c>
    </row>
    <row r="120" spans="1:6">
      <c r="A120" s="55" t="s">
        <v>442</v>
      </c>
      <c r="B120" s="56"/>
      <c r="C120" s="56"/>
      <c r="D120" s="57"/>
      <c r="E120" s="58"/>
      <c r="F120" s="59">
        <f>Table44[[#Totals],[VALOR TOTAL]]*0.5%</f>
        <v>51.6529</v>
      </c>
    </row>
    <row r="121" spans="1:6">
      <c r="A121" s="60" t="s">
        <v>443</v>
      </c>
      <c r="B121" s="60"/>
      <c r="C121" s="60"/>
      <c r="D121" s="61"/>
      <c r="E121" s="60"/>
      <c r="F121" s="62">
        <f>Table44[[#Totals],[VALOR TOTAL]]*(1-0.2)/(12*8)</f>
        <v>86.0881666666667</v>
      </c>
    </row>
    <row r="122" spans="1:6">
      <c r="A122" s="60" t="s">
        <v>444</v>
      </c>
      <c r="B122" s="60"/>
      <c r="C122" s="60"/>
      <c r="D122" s="61"/>
      <c r="E122" s="60"/>
      <c r="F122" s="62">
        <f>F120+F121</f>
        <v>137.741066666667</v>
      </c>
    </row>
    <row r="123" spans="1:6">
      <c r="A123" s="60" t="s">
        <v>419</v>
      </c>
      <c r="B123" s="60"/>
      <c r="C123" s="60"/>
      <c r="D123" s="61"/>
      <c r="E123" s="60"/>
      <c r="F123" s="63">
        <v>2</v>
      </c>
    </row>
    <row r="124" spans="1:6">
      <c r="A124" s="60" t="s">
        <v>420</v>
      </c>
      <c r="B124" s="60"/>
      <c r="C124" s="60"/>
      <c r="D124" s="61"/>
      <c r="E124" s="60"/>
      <c r="F124" s="62">
        <f>TRUNC(F122/F123,2)</f>
        <v>68.87</v>
      </c>
    </row>
    <row r="125" spans="1:6">
      <c r="A125" s="64"/>
      <c r="B125" s="64"/>
      <c r="C125" s="64"/>
      <c r="D125" s="65"/>
      <c r="E125" s="64"/>
      <c r="F125" s="64"/>
    </row>
    <row r="126" spans="1:6">
      <c r="A126" s="66" t="s">
        <v>445</v>
      </c>
      <c r="B126" s="67"/>
      <c r="C126" s="67"/>
      <c r="D126" s="68"/>
      <c r="E126" s="67"/>
      <c r="F126" s="67"/>
    </row>
    <row r="127" spans="1:6">
      <c r="A127" s="67"/>
      <c r="B127" s="67"/>
      <c r="C127" s="67"/>
      <c r="D127" s="68"/>
      <c r="E127" s="67"/>
      <c r="F127" s="67"/>
    </row>
    <row r="128" spans="1:6">
      <c r="A128" s="67"/>
      <c r="B128" s="67"/>
      <c r="C128" s="67"/>
      <c r="D128" s="68"/>
      <c r="E128" s="67"/>
      <c r="F128" s="67"/>
    </row>
    <row r="129" spans="1:6">
      <c r="A129" s="67"/>
      <c r="B129" s="67"/>
      <c r="C129" s="67"/>
      <c r="D129" s="68"/>
      <c r="E129" s="67"/>
      <c r="F129" s="67"/>
    </row>
    <row r="130" spans="1:6">
      <c r="A130" s="67"/>
      <c r="B130" s="67"/>
      <c r="C130" s="67"/>
      <c r="D130" s="68"/>
      <c r="E130" s="67"/>
      <c r="F130" s="67"/>
    </row>
    <row r="131" spans="1:6">
      <c r="A131" s="67"/>
      <c r="B131" s="67"/>
      <c r="C131" s="67"/>
      <c r="D131" s="68"/>
      <c r="E131" s="67"/>
      <c r="F131" s="67"/>
    </row>
    <row r="132" spans="1:6">
      <c r="A132" s="67"/>
      <c r="B132" s="67"/>
      <c r="C132" s="67"/>
      <c r="D132" s="68"/>
      <c r="E132" s="67"/>
      <c r="F132" s="67"/>
    </row>
    <row r="133" spans="1:6">
      <c r="A133" s="67"/>
      <c r="B133" s="67"/>
      <c r="C133" s="67"/>
      <c r="D133" s="68"/>
      <c r="E133" s="67"/>
      <c r="F133" s="67"/>
    </row>
    <row r="134" spans="1:6">
      <c r="A134" s="67"/>
      <c r="B134" s="67"/>
      <c r="C134" s="67"/>
      <c r="D134" s="68"/>
      <c r="E134" s="67"/>
      <c r="F134" s="67"/>
    </row>
    <row r="135" spans="1:6">
      <c r="A135" s="67"/>
      <c r="B135" s="67"/>
      <c r="C135" s="67"/>
      <c r="D135" s="68"/>
      <c r="E135" s="67"/>
      <c r="F135" s="67"/>
    </row>
  </sheetData>
  <mergeCells count="15">
    <mergeCell ref="A1:G1"/>
    <mergeCell ref="A9:F9"/>
    <mergeCell ref="A91:D91"/>
    <mergeCell ref="E91:F91"/>
    <mergeCell ref="A92:D92"/>
    <mergeCell ref="E92:F92"/>
    <mergeCell ref="A93:D93"/>
    <mergeCell ref="E93:F93"/>
    <mergeCell ref="A97:F97"/>
    <mergeCell ref="A120:E120"/>
    <mergeCell ref="A121:E121"/>
    <mergeCell ref="A122:E122"/>
    <mergeCell ref="A123:E123"/>
    <mergeCell ref="A124:E124"/>
    <mergeCell ref="A126:F135"/>
  </mergeCells>
  <pageMargins left="0.75" right="0.75" top="1" bottom="1" header="0.5" footer="0.5"/>
  <pageSetup paperSize="9" orientation="portrait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Portaria</vt:lpstr>
      <vt:lpstr>Motorista Interestadual</vt:lpstr>
      <vt:lpstr>Auxiliar de Manutenção Predial</vt:lpstr>
      <vt:lpstr>Jardineiro</vt:lpstr>
      <vt:lpstr>Diárias</vt:lpstr>
      <vt:lpstr>Uniformes</vt:lpstr>
      <vt:lpstr>Materiais e Equipamentos</vt:lpstr>
      <vt:lpstr>EPC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2021-07-27T13:20:03Z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1046-11.2.0.10223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